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ables/table1.xml" ContentType="application/vnd.openxmlformats-officedocument.spreadsheetml.table+xml"/>
  <Override PartName="/xl/comments7.xml" ContentType="application/vnd.openxmlformats-officedocument.spreadsheetml.comments+xml"/>
  <Override PartName="/xl/tables/table2.xml" ContentType="application/vnd.openxmlformats-officedocument.spreadsheetml.table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  <Override PartName="/xl/threadedComments/threadedComment6.xml" ContentType="application/vnd.ms-excel.threadedcomments+xml"/>
  <Override PartName="/xl/threadedComments/threadedComment7.xml" ContentType="application/vnd.ms-excel.threadedcomments+xml"/>
  <Override PartName="/xl/threadedComments/threadedComment8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Laporan AKP 2025\NBM 2025\Template NBM\"/>
    </mc:Choice>
  </mc:AlternateContent>
  <bookViews>
    <workbookView xWindow="-105" yWindow="-105" windowWidth="20730" windowHeight="11760" firstSheet="2" activeTab="6"/>
  </bookViews>
  <sheets>
    <sheet name="Keterangan" sheetId="31" r:id="rId1"/>
    <sheet name="Produksi" sheetId="1" r:id="rId2"/>
    <sheet name="Stok" sheetId="20" r:id="rId3"/>
    <sheet name="Impor_Pangan Masuk" sheetId="21" r:id="rId4"/>
    <sheet name="Ekspor_Pangan Keluar" sheetId="22" r:id="rId5"/>
    <sheet name="Pemakaian Dalam Negeri" sheetId="16" r:id="rId6"/>
    <sheet name="Tabel NBM" sheetId="11" r:id="rId7"/>
    <sheet name="PPH" sheetId="12" r:id="rId8"/>
    <sheet name="ESTIMASI  Ekspor Impor" sheetId="24" r:id="rId9"/>
    <sheet name="Pemakaian Dalam Negeri REVISI" sheetId="32" r:id="rId10"/>
    <sheet name="Tabel NBM REVISI" sheetId="33" r:id="rId11"/>
    <sheet name="PPH REVISI" sheetId="26" r:id="rId12"/>
    <sheet name="Tabel NBM FINAL" sheetId="17" state="hidden" r:id="rId13"/>
    <sheet name="PPH FINAL" sheetId="18" state="hidden" r:id="rId14"/>
    <sheet name="Benih" sheetId="6" state="hidden" r:id="rId15"/>
    <sheet name="Industri Makanan" sheetId="7" state="hidden" r:id="rId16"/>
    <sheet name="Industri Non Pangan" sheetId="8" state="hidden" r:id="rId17"/>
    <sheet name="Tercecer" sheetId="9" state="hidden" r:id="rId18"/>
  </sheets>
  <externalReferences>
    <externalReference r:id="rId19"/>
  </externalReferences>
  <definedNames>
    <definedName name="_xlnm.Print_Area" localSheetId="5">'Pemakaian Dalam Negeri'!$A$1:$U$199</definedName>
    <definedName name="_xlnm.Print_Area" localSheetId="9">'Pemakaian Dalam Negeri REVISI'!$A$1:$R$187</definedName>
    <definedName name="_xlnm.Print_Area" localSheetId="6">'Tabel NBM'!$A$1:$S$195</definedName>
    <definedName name="_xlnm.Print_Area" localSheetId="12">'Tabel NBM FINAL'!$A$1:$U$195</definedName>
    <definedName name="_xlnm.Print_Area" localSheetId="10">'Tabel NBM REVISI'!$A$1:$S$195</definedName>
    <definedName name="_xlnm.Print_Titles" localSheetId="5">'Pemakaian Dalam Negeri'!$1:$11</definedName>
    <definedName name="_xlnm.Print_Titles" localSheetId="9">'Pemakaian Dalam Negeri REVISI'!$1:$11</definedName>
    <definedName name="_xlnm.Print_Titles" localSheetId="6">'Tabel NBM'!$1:$11</definedName>
    <definedName name="_xlnm.Print_Titles" localSheetId="12">'Tabel NBM FINAL'!$1:$11</definedName>
    <definedName name="_xlnm.Print_Titles" localSheetId="10">'Tabel NBM REVISI'!$1:$11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0" l="1"/>
  <c r="L7" i="20" s="1"/>
  <c r="D128" i="1" l="1"/>
  <c r="A44" i="26" l="1"/>
  <c r="A24" i="26"/>
  <c r="A4" i="26"/>
  <c r="A3" i="33"/>
  <c r="A4" i="12"/>
  <c r="A24" i="12" s="1"/>
  <c r="A44" i="12" s="1"/>
  <c r="A3" i="22"/>
  <c r="A3" i="21"/>
  <c r="A3" i="20"/>
  <c r="A3" i="11"/>
  <c r="L3" i="12" l="1"/>
  <c r="D189" i="1" l="1"/>
  <c r="G124" i="33"/>
  <c r="G125" i="33"/>
  <c r="G130" i="33"/>
  <c r="G131" i="33"/>
  <c r="G134" i="33"/>
  <c r="G135" i="33"/>
  <c r="G170" i="33"/>
  <c r="G171" i="33"/>
  <c r="G172" i="33"/>
  <c r="G111" i="33"/>
  <c r="G112" i="33"/>
  <c r="F130" i="33"/>
  <c r="F131" i="33"/>
  <c r="F134" i="33"/>
  <c r="F135" i="33"/>
  <c r="F170" i="33"/>
  <c r="F171" i="33"/>
  <c r="F172" i="33"/>
  <c r="F125" i="33"/>
  <c r="J118" i="20"/>
  <c r="F111" i="33"/>
  <c r="F112" i="33"/>
  <c r="F124" i="33"/>
  <c r="G124" i="24"/>
  <c r="G125" i="24"/>
  <c r="G130" i="24"/>
  <c r="G131" i="24"/>
  <c r="G134" i="24"/>
  <c r="G135" i="24"/>
  <c r="G170" i="24"/>
  <c r="G171" i="24"/>
  <c r="G172" i="24"/>
  <c r="G180" i="24"/>
  <c r="G111" i="24"/>
  <c r="G112" i="24"/>
  <c r="G76" i="24"/>
  <c r="G77" i="24"/>
  <c r="Q4" i="33"/>
  <c r="U15" i="33"/>
  <c r="V15" i="33"/>
  <c r="W15" i="33"/>
  <c r="H34" i="33"/>
  <c r="H35" i="33"/>
  <c r="U75" i="33"/>
  <c r="V75" i="33"/>
  <c r="W75" i="33"/>
  <c r="AE81" i="33"/>
  <c r="AF81" i="33"/>
  <c r="AG81" i="33"/>
  <c r="AH81" i="33"/>
  <c r="U110" i="33"/>
  <c r="V110" i="33"/>
  <c r="W110" i="33"/>
  <c r="U126" i="33"/>
  <c r="V126" i="33"/>
  <c r="W126" i="33"/>
  <c r="U128" i="33"/>
  <c r="W128" i="33"/>
  <c r="I4" i="32"/>
  <c r="F13" i="32"/>
  <c r="J13" i="33" s="1"/>
  <c r="G13" i="32"/>
  <c r="K13" i="33" s="1"/>
  <c r="E14" i="32"/>
  <c r="I14" i="33" s="1"/>
  <c r="I14" i="32"/>
  <c r="M14" i="33" s="1"/>
  <c r="E15" i="32"/>
  <c r="I15" i="33" s="1"/>
  <c r="I15" i="32"/>
  <c r="M15" i="33" s="1"/>
  <c r="G19" i="32"/>
  <c r="K19" i="33" s="1"/>
  <c r="I19" i="32"/>
  <c r="M19" i="33" s="1"/>
  <c r="R19" i="32"/>
  <c r="F19" i="32" s="1"/>
  <c r="J19" i="33" s="1"/>
  <c r="E22" i="32"/>
  <c r="I22" i="33" s="1"/>
  <c r="F22" i="32"/>
  <c r="J22" i="33" s="1"/>
  <c r="G22" i="32"/>
  <c r="K22" i="33" s="1"/>
  <c r="I22" i="32"/>
  <c r="M22" i="33" s="1"/>
  <c r="E26" i="32"/>
  <c r="I26" i="33" s="1"/>
  <c r="F26" i="32"/>
  <c r="J26" i="33" s="1"/>
  <c r="G26" i="32"/>
  <c r="K26" i="33" s="1"/>
  <c r="H26" i="32"/>
  <c r="L26" i="33" s="1"/>
  <c r="I26" i="32"/>
  <c r="M26" i="33" s="1"/>
  <c r="I30" i="32"/>
  <c r="M30" i="33" s="1"/>
  <c r="G31" i="32"/>
  <c r="K31" i="33" s="1"/>
  <c r="I31" i="32"/>
  <c r="M31" i="33" s="1"/>
  <c r="G32" i="32"/>
  <c r="K32" i="33" s="1"/>
  <c r="I32" i="32"/>
  <c r="M32" i="33" s="1"/>
  <c r="E36" i="32"/>
  <c r="I36" i="33" s="1"/>
  <c r="F36" i="32"/>
  <c r="J36" i="33" s="1"/>
  <c r="G36" i="32"/>
  <c r="K36" i="33" s="1"/>
  <c r="I36" i="32"/>
  <c r="M36" i="33" s="1"/>
  <c r="E37" i="32"/>
  <c r="I37" i="33" s="1"/>
  <c r="F37" i="32"/>
  <c r="J37" i="33" s="1"/>
  <c r="G37" i="32"/>
  <c r="K37" i="33" s="1"/>
  <c r="I37" i="32"/>
  <c r="M37" i="33" s="1"/>
  <c r="E38" i="32"/>
  <c r="I38" i="33" s="1"/>
  <c r="F38" i="32"/>
  <c r="J38" i="33" s="1"/>
  <c r="G38" i="32"/>
  <c r="K38" i="33" s="1"/>
  <c r="I38" i="32"/>
  <c r="M38" i="33" s="1"/>
  <c r="E39" i="32"/>
  <c r="I39" i="33" s="1"/>
  <c r="F39" i="32"/>
  <c r="J39" i="33" s="1"/>
  <c r="G39" i="32"/>
  <c r="K39" i="33" s="1"/>
  <c r="I39" i="32"/>
  <c r="M39" i="33" s="1"/>
  <c r="E40" i="32"/>
  <c r="I40" i="33" s="1"/>
  <c r="F40" i="32"/>
  <c r="J40" i="33" s="1"/>
  <c r="G40" i="32"/>
  <c r="K40" i="33" s="1"/>
  <c r="I40" i="32"/>
  <c r="M40" i="33" s="1"/>
  <c r="E41" i="32"/>
  <c r="I41" i="33" s="1"/>
  <c r="F41" i="32"/>
  <c r="J41" i="33" s="1"/>
  <c r="G41" i="32"/>
  <c r="K41" i="33" s="1"/>
  <c r="I41" i="32"/>
  <c r="M41" i="33" s="1"/>
  <c r="E42" i="32"/>
  <c r="I42" i="33" s="1"/>
  <c r="F42" i="32"/>
  <c r="J42" i="33" s="1"/>
  <c r="G42" i="32"/>
  <c r="K42" i="33" s="1"/>
  <c r="I42" i="32"/>
  <c r="M42" i="33" s="1"/>
  <c r="E43" i="32"/>
  <c r="I43" i="33" s="1"/>
  <c r="F43" i="32"/>
  <c r="J43" i="33" s="1"/>
  <c r="G43" i="32"/>
  <c r="K43" i="33" s="1"/>
  <c r="I43" i="32"/>
  <c r="M43" i="33" s="1"/>
  <c r="E44" i="32"/>
  <c r="I44" i="33" s="1"/>
  <c r="F44" i="32"/>
  <c r="J44" i="33" s="1"/>
  <c r="G44" i="32"/>
  <c r="K44" i="33" s="1"/>
  <c r="I44" i="32"/>
  <c r="M44" i="33" s="1"/>
  <c r="E45" i="32"/>
  <c r="I45" i="33" s="1"/>
  <c r="F45" i="32"/>
  <c r="J45" i="33" s="1"/>
  <c r="G45" i="32"/>
  <c r="K45" i="33" s="1"/>
  <c r="I45" i="32"/>
  <c r="M45" i="33" s="1"/>
  <c r="E46" i="32"/>
  <c r="I46" i="33" s="1"/>
  <c r="F46" i="32"/>
  <c r="J46" i="33" s="1"/>
  <c r="G46" i="32"/>
  <c r="K46" i="33" s="1"/>
  <c r="I46" i="32"/>
  <c r="M46" i="33" s="1"/>
  <c r="E47" i="32"/>
  <c r="I47" i="33" s="1"/>
  <c r="F47" i="32"/>
  <c r="J47" i="33" s="1"/>
  <c r="G47" i="32"/>
  <c r="K47" i="33" s="1"/>
  <c r="I47" i="32"/>
  <c r="M47" i="33" s="1"/>
  <c r="E48" i="32"/>
  <c r="I48" i="33" s="1"/>
  <c r="F48" i="32"/>
  <c r="J48" i="33" s="1"/>
  <c r="G48" i="32"/>
  <c r="K48" i="33" s="1"/>
  <c r="I48" i="32"/>
  <c r="M48" i="33" s="1"/>
  <c r="E49" i="32"/>
  <c r="I49" i="33" s="1"/>
  <c r="F49" i="32"/>
  <c r="J49" i="33" s="1"/>
  <c r="G49" i="32"/>
  <c r="K49" i="33" s="1"/>
  <c r="I49" i="32"/>
  <c r="M49" i="33" s="1"/>
  <c r="E50" i="32"/>
  <c r="I50" i="33" s="1"/>
  <c r="F50" i="32"/>
  <c r="J50" i="33" s="1"/>
  <c r="G50" i="32"/>
  <c r="K50" i="33" s="1"/>
  <c r="I50" i="32"/>
  <c r="M50" i="33" s="1"/>
  <c r="E51" i="32"/>
  <c r="I51" i="33" s="1"/>
  <c r="F51" i="32"/>
  <c r="J51" i="33" s="1"/>
  <c r="G51" i="32"/>
  <c r="K51" i="33" s="1"/>
  <c r="I51" i="32"/>
  <c r="M51" i="33" s="1"/>
  <c r="E52" i="32"/>
  <c r="I52" i="33" s="1"/>
  <c r="F52" i="32"/>
  <c r="J52" i="33" s="1"/>
  <c r="G52" i="32"/>
  <c r="K52" i="33" s="1"/>
  <c r="I52" i="32"/>
  <c r="M52" i="33" s="1"/>
  <c r="E53" i="32"/>
  <c r="I53" i="33" s="1"/>
  <c r="F53" i="32"/>
  <c r="J53" i="33" s="1"/>
  <c r="G53" i="32"/>
  <c r="K53" i="33" s="1"/>
  <c r="I53" i="32"/>
  <c r="M53" i="33" s="1"/>
  <c r="E54" i="32"/>
  <c r="I54" i="33" s="1"/>
  <c r="F54" i="32"/>
  <c r="J54" i="33" s="1"/>
  <c r="G54" i="32"/>
  <c r="K54" i="33" s="1"/>
  <c r="I54" i="32"/>
  <c r="M54" i="33" s="1"/>
  <c r="E55" i="32"/>
  <c r="I55" i="33" s="1"/>
  <c r="F55" i="32"/>
  <c r="J55" i="33" s="1"/>
  <c r="G55" i="32"/>
  <c r="K55" i="33" s="1"/>
  <c r="I55" i="32"/>
  <c r="M55" i="33" s="1"/>
  <c r="E56" i="32"/>
  <c r="I56" i="33" s="1"/>
  <c r="F56" i="32"/>
  <c r="J56" i="33" s="1"/>
  <c r="G56" i="32"/>
  <c r="K56" i="33" s="1"/>
  <c r="I56" i="32"/>
  <c r="M56" i="33" s="1"/>
  <c r="E57" i="32"/>
  <c r="I57" i="33" s="1"/>
  <c r="F57" i="32"/>
  <c r="J57" i="33" s="1"/>
  <c r="G57" i="32"/>
  <c r="K57" i="33" s="1"/>
  <c r="I57" i="32"/>
  <c r="M57" i="33" s="1"/>
  <c r="E58" i="32"/>
  <c r="I58" i="33" s="1"/>
  <c r="F58" i="32"/>
  <c r="J58" i="33" s="1"/>
  <c r="G58" i="32"/>
  <c r="K58" i="33" s="1"/>
  <c r="I58" i="32"/>
  <c r="M58" i="33" s="1"/>
  <c r="E59" i="32"/>
  <c r="I59" i="33" s="1"/>
  <c r="F59" i="32"/>
  <c r="J59" i="33" s="1"/>
  <c r="G59" i="32"/>
  <c r="K59" i="33" s="1"/>
  <c r="I59" i="32"/>
  <c r="M59" i="33" s="1"/>
  <c r="E60" i="32"/>
  <c r="I60" i="33" s="1"/>
  <c r="F60" i="32"/>
  <c r="J60" i="33" s="1"/>
  <c r="G60" i="32"/>
  <c r="K60" i="33" s="1"/>
  <c r="I60" i="32"/>
  <c r="M60" i="33" s="1"/>
  <c r="E61" i="32"/>
  <c r="I61" i="33" s="1"/>
  <c r="F61" i="32"/>
  <c r="J61" i="33" s="1"/>
  <c r="G61" i="32"/>
  <c r="K61" i="33" s="1"/>
  <c r="I61" i="32"/>
  <c r="M61" i="33" s="1"/>
  <c r="E62" i="32"/>
  <c r="I62" i="33" s="1"/>
  <c r="F62" i="32"/>
  <c r="J62" i="33" s="1"/>
  <c r="G62" i="32"/>
  <c r="K62" i="33" s="1"/>
  <c r="I62" i="32"/>
  <c r="M62" i="33" s="1"/>
  <c r="E63" i="32"/>
  <c r="I63" i="33" s="1"/>
  <c r="F63" i="32"/>
  <c r="J63" i="33" s="1"/>
  <c r="G63" i="32"/>
  <c r="K63" i="33" s="1"/>
  <c r="I63" i="32"/>
  <c r="M63" i="33" s="1"/>
  <c r="E64" i="32"/>
  <c r="I64" i="33" s="1"/>
  <c r="F64" i="32"/>
  <c r="J64" i="33" s="1"/>
  <c r="G64" i="32"/>
  <c r="K64" i="33" s="1"/>
  <c r="I64" i="32"/>
  <c r="M64" i="33" s="1"/>
  <c r="E65" i="32"/>
  <c r="I65" i="33" s="1"/>
  <c r="F65" i="32"/>
  <c r="J65" i="33" s="1"/>
  <c r="G65" i="32"/>
  <c r="K65" i="33" s="1"/>
  <c r="I65" i="32"/>
  <c r="M65" i="33" s="1"/>
  <c r="E66" i="32"/>
  <c r="I66" i="33" s="1"/>
  <c r="F66" i="32"/>
  <c r="J66" i="33" s="1"/>
  <c r="G66" i="32"/>
  <c r="K66" i="33" s="1"/>
  <c r="I66" i="32"/>
  <c r="M66" i="33" s="1"/>
  <c r="E67" i="32"/>
  <c r="I67" i="33" s="1"/>
  <c r="F67" i="32"/>
  <c r="J67" i="33" s="1"/>
  <c r="G67" i="32"/>
  <c r="K67" i="33" s="1"/>
  <c r="I67" i="32"/>
  <c r="M67" i="33" s="1"/>
  <c r="E68" i="32"/>
  <c r="I68" i="33" s="1"/>
  <c r="F68" i="32"/>
  <c r="J68" i="33" s="1"/>
  <c r="G68" i="32"/>
  <c r="K68" i="33" s="1"/>
  <c r="I68" i="32"/>
  <c r="M68" i="33" s="1"/>
  <c r="E69" i="32"/>
  <c r="I69" i="33" s="1"/>
  <c r="F69" i="32"/>
  <c r="J69" i="33" s="1"/>
  <c r="G69" i="32"/>
  <c r="K69" i="33" s="1"/>
  <c r="I69" i="32"/>
  <c r="M69" i="33" s="1"/>
  <c r="E70" i="32"/>
  <c r="I70" i="33" s="1"/>
  <c r="F70" i="32"/>
  <c r="J70" i="33" s="1"/>
  <c r="G70" i="32"/>
  <c r="K70" i="33" s="1"/>
  <c r="I70" i="32"/>
  <c r="M70" i="33" s="1"/>
  <c r="E71" i="32"/>
  <c r="I71" i="33" s="1"/>
  <c r="F71" i="32"/>
  <c r="J71" i="33" s="1"/>
  <c r="G71" i="32"/>
  <c r="K71" i="33" s="1"/>
  <c r="I71" i="32"/>
  <c r="M71" i="33" s="1"/>
  <c r="E72" i="32"/>
  <c r="I72" i="33" s="1"/>
  <c r="F72" i="32"/>
  <c r="J72" i="33" s="1"/>
  <c r="G72" i="32"/>
  <c r="K72" i="33" s="1"/>
  <c r="I72" i="32"/>
  <c r="M72" i="33" s="1"/>
  <c r="E73" i="32"/>
  <c r="I73" i="33" s="1"/>
  <c r="F73" i="32"/>
  <c r="J73" i="33" s="1"/>
  <c r="G73" i="32"/>
  <c r="K73" i="33" s="1"/>
  <c r="I73" i="32"/>
  <c r="M73" i="33" s="1"/>
  <c r="E74" i="32"/>
  <c r="I74" i="33" s="1"/>
  <c r="F74" i="32"/>
  <c r="J74" i="33" s="1"/>
  <c r="G74" i="32"/>
  <c r="K74" i="33" s="1"/>
  <c r="I74" i="32"/>
  <c r="M74" i="33" s="1"/>
  <c r="E75" i="32"/>
  <c r="I75" i="33" s="1"/>
  <c r="F75" i="32"/>
  <c r="J75" i="33" s="1"/>
  <c r="G75" i="32"/>
  <c r="K75" i="33" s="1"/>
  <c r="I75" i="32"/>
  <c r="M75" i="33" s="1"/>
  <c r="E78" i="32"/>
  <c r="I78" i="33" s="1"/>
  <c r="G78" i="32"/>
  <c r="K78" i="33" s="1"/>
  <c r="I78" i="32"/>
  <c r="M78" i="33" s="1"/>
  <c r="N78" i="32"/>
  <c r="R78" i="32"/>
  <c r="E79" i="32"/>
  <c r="I79" i="33" s="1"/>
  <c r="G79" i="32"/>
  <c r="K79" i="33" s="1"/>
  <c r="I79" i="32"/>
  <c r="M79" i="33" s="1"/>
  <c r="R79" i="32"/>
  <c r="E80" i="32"/>
  <c r="I80" i="33" s="1"/>
  <c r="F80" i="32"/>
  <c r="J80" i="33" s="1"/>
  <c r="G80" i="32"/>
  <c r="K80" i="33" s="1"/>
  <c r="I80" i="32"/>
  <c r="M80" i="33" s="1"/>
  <c r="E81" i="32"/>
  <c r="I81" i="33" s="1"/>
  <c r="G81" i="32"/>
  <c r="K81" i="33" s="1"/>
  <c r="I81" i="32"/>
  <c r="M81" i="33" s="1"/>
  <c r="E82" i="32"/>
  <c r="I82" i="33" s="1"/>
  <c r="G82" i="32"/>
  <c r="K82" i="33" s="1"/>
  <c r="I82" i="32"/>
  <c r="M82" i="33" s="1"/>
  <c r="E83" i="32"/>
  <c r="I83" i="33" s="1"/>
  <c r="G83" i="32"/>
  <c r="K83" i="33" s="1"/>
  <c r="I83" i="32"/>
  <c r="M83" i="33" s="1"/>
  <c r="E84" i="32"/>
  <c r="I84" i="33" s="1"/>
  <c r="G84" i="32"/>
  <c r="K84" i="33" s="1"/>
  <c r="I84" i="32"/>
  <c r="M84" i="33" s="1"/>
  <c r="E85" i="32"/>
  <c r="I85" i="33" s="1"/>
  <c r="F85" i="32"/>
  <c r="J85" i="33" s="1"/>
  <c r="G85" i="32"/>
  <c r="K85" i="33" s="1"/>
  <c r="I85" i="32"/>
  <c r="M85" i="33" s="1"/>
  <c r="E86" i="32"/>
  <c r="I86" i="33" s="1"/>
  <c r="G86" i="32"/>
  <c r="K86" i="33" s="1"/>
  <c r="I86" i="32"/>
  <c r="M86" i="33" s="1"/>
  <c r="E87" i="32"/>
  <c r="I87" i="33" s="1"/>
  <c r="F87" i="32"/>
  <c r="J87" i="33" s="1"/>
  <c r="G87" i="32"/>
  <c r="K87" i="33" s="1"/>
  <c r="I87" i="32"/>
  <c r="M87" i="33" s="1"/>
  <c r="E88" i="32"/>
  <c r="I88" i="33" s="1"/>
  <c r="G88" i="32"/>
  <c r="K88" i="33" s="1"/>
  <c r="I88" i="32"/>
  <c r="M88" i="33" s="1"/>
  <c r="E89" i="32"/>
  <c r="I89" i="33" s="1"/>
  <c r="G89" i="32"/>
  <c r="K89" i="33" s="1"/>
  <c r="I89" i="32"/>
  <c r="M89" i="33" s="1"/>
  <c r="E90" i="32"/>
  <c r="I90" i="33" s="1"/>
  <c r="G90" i="32"/>
  <c r="K90" i="33" s="1"/>
  <c r="I90" i="32"/>
  <c r="M90" i="33" s="1"/>
  <c r="E91" i="32"/>
  <c r="I91" i="33" s="1"/>
  <c r="F91" i="32"/>
  <c r="J91" i="33" s="1"/>
  <c r="G91" i="32"/>
  <c r="K91" i="33" s="1"/>
  <c r="I91" i="32"/>
  <c r="M91" i="33" s="1"/>
  <c r="E92" i="32"/>
  <c r="I92" i="33" s="1"/>
  <c r="G92" i="32"/>
  <c r="K92" i="33" s="1"/>
  <c r="I92" i="32"/>
  <c r="M92" i="33" s="1"/>
  <c r="E93" i="32"/>
  <c r="I93" i="33" s="1"/>
  <c r="G93" i="32"/>
  <c r="K93" i="33" s="1"/>
  <c r="I93" i="32"/>
  <c r="M93" i="33" s="1"/>
  <c r="E94" i="32"/>
  <c r="I94" i="33" s="1"/>
  <c r="G94" i="32"/>
  <c r="K94" i="33" s="1"/>
  <c r="I94" i="32"/>
  <c r="M94" i="33" s="1"/>
  <c r="E95" i="32"/>
  <c r="I95" i="33" s="1"/>
  <c r="G95" i="32"/>
  <c r="K95" i="33" s="1"/>
  <c r="I95" i="32"/>
  <c r="M95" i="33" s="1"/>
  <c r="E96" i="32"/>
  <c r="I96" i="33" s="1"/>
  <c r="G96" i="32"/>
  <c r="K96" i="33" s="1"/>
  <c r="I96" i="32"/>
  <c r="M96" i="33" s="1"/>
  <c r="E97" i="32"/>
  <c r="I97" i="33" s="1"/>
  <c r="G97" i="32"/>
  <c r="K97" i="33" s="1"/>
  <c r="I97" i="32"/>
  <c r="M97" i="33" s="1"/>
  <c r="E98" i="32"/>
  <c r="I98" i="33" s="1"/>
  <c r="F98" i="32"/>
  <c r="J98" i="33" s="1"/>
  <c r="G98" i="32"/>
  <c r="K98" i="33" s="1"/>
  <c r="I98" i="32"/>
  <c r="M98" i="33" s="1"/>
  <c r="E99" i="32"/>
  <c r="I99" i="33" s="1"/>
  <c r="F99" i="32"/>
  <c r="J99" i="33" s="1"/>
  <c r="G99" i="32"/>
  <c r="K99" i="33" s="1"/>
  <c r="I99" i="32"/>
  <c r="M99" i="33" s="1"/>
  <c r="E100" i="32"/>
  <c r="I100" i="33" s="1"/>
  <c r="F100" i="32"/>
  <c r="J100" i="33" s="1"/>
  <c r="G100" i="32"/>
  <c r="K100" i="33" s="1"/>
  <c r="I100" i="32"/>
  <c r="M100" i="33" s="1"/>
  <c r="E101" i="32"/>
  <c r="I101" i="33" s="1"/>
  <c r="F101" i="32"/>
  <c r="J101" i="33" s="1"/>
  <c r="G101" i="32"/>
  <c r="K101" i="33" s="1"/>
  <c r="I101" i="32"/>
  <c r="M101" i="33" s="1"/>
  <c r="E102" i="32"/>
  <c r="I102" i="33" s="1"/>
  <c r="F102" i="32"/>
  <c r="J102" i="33" s="1"/>
  <c r="G102" i="32"/>
  <c r="K102" i="33" s="1"/>
  <c r="I102" i="32"/>
  <c r="M102" i="33" s="1"/>
  <c r="E103" i="32"/>
  <c r="I103" i="33" s="1"/>
  <c r="F103" i="32"/>
  <c r="J103" i="33" s="1"/>
  <c r="G103" i="32"/>
  <c r="K103" i="33" s="1"/>
  <c r="I103" i="32"/>
  <c r="M103" i="33" s="1"/>
  <c r="E104" i="32"/>
  <c r="I104" i="33" s="1"/>
  <c r="F104" i="32"/>
  <c r="J104" i="33" s="1"/>
  <c r="G104" i="32"/>
  <c r="K104" i="33" s="1"/>
  <c r="I104" i="32"/>
  <c r="M104" i="33" s="1"/>
  <c r="E105" i="32"/>
  <c r="I105" i="33" s="1"/>
  <c r="G105" i="32"/>
  <c r="K105" i="33" s="1"/>
  <c r="I105" i="32"/>
  <c r="M105" i="33" s="1"/>
  <c r="E106" i="32"/>
  <c r="I106" i="33" s="1"/>
  <c r="F106" i="32"/>
  <c r="J106" i="33" s="1"/>
  <c r="G106" i="32"/>
  <c r="K106" i="33" s="1"/>
  <c r="I106" i="32"/>
  <c r="M106" i="33" s="1"/>
  <c r="E107" i="32"/>
  <c r="I107" i="33" s="1"/>
  <c r="F107" i="32"/>
  <c r="J107" i="33" s="1"/>
  <c r="G107" i="32"/>
  <c r="K107" i="33" s="1"/>
  <c r="I107" i="32"/>
  <c r="M107" i="33" s="1"/>
  <c r="E108" i="32"/>
  <c r="I108" i="33" s="1"/>
  <c r="F108" i="32"/>
  <c r="J108" i="33" s="1"/>
  <c r="G108" i="32"/>
  <c r="K108" i="33" s="1"/>
  <c r="I108" i="32"/>
  <c r="M108" i="33" s="1"/>
  <c r="E109" i="32"/>
  <c r="I109" i="33" s="1"/>
  <c r="F109" i="32"/>
  <c r="J109" i="33" s="1"/>
  <c r="G109" i="32"/>
  <c r="K109" i="33" s="1"/>
  <c r="I109" i="32"/>
  <c r="M109" i="33" s="1"/>
  <c r="E110" i="32"/>
  <c r="I110" i="33" s="1"/>
  <c r="F110" i="32"/>
  <c r="J110" i="33" s="1"/>
  <c r="G110" i="32"/>
  <c r="K110" i="33" s="1"/>
  <c r="I110" i="32"/>
  <c r="M110" i="33" s="1"/>
  <c r="E113" i="32"/>
  <c r="I113" i="33" s="1"/>
  <c r="F113" i="32"/>
  <c r="J113" i="33" s="1"/>
  <c r="G113" i="32"/>
  <c r="K113" i="33" s="1"/>
  <c r="I113" i="32"/>
  <c r="M113" i="33" s="1"/>
  <c r="E114" i="32"/>
  <c r="I114" i="33" s="1"/>
  <c r="F114" i="32"/>
  <c r="J114" i="33" s="1"/>
  <c r="G114" i="32"/>
  <c r="K114" i="33" s="1"/>
  <c r="I114" i="32"/>
  <c r="M114" i="33" s="1"/>
  <c r="E115" i="32"/>
  <c r="I115" i="33" s="1"/>
  <c r="F115" i="32"/>
  <c r="J115" i="33" s="1"/>
  <c r="G115" i="32"/>
  <c r="K115" i="33" s="1"/>
  <c r="I115" i="32"/>
  <c r="M115" i="33" s="1"/>
  <c r="E116" i="32"/>
  <c r="I116" i="33" s="1"/>
  <c r="F116" i="32"/>
  <c r="J116" i="33" s="1"/>
  <c r="G116" i="32"/>
  <c r="K116" i="33" s="1"/>
  <c r="I116" i="32"/>
  <c r="M116" i="33" s="1"/>
  <c r="E117" i="32"/>
  <c r="I117" i="33" s="1"/>
  <c r="F117" i="32"/>
  <c r="J117" i="33" s="1"/>
  <c r="G117" i="32"/>
  <c r="K117" i="33" s="1"/>
  <c r="I117" i="32"/>
  <c r="M117" i="33" s="1"/>
  <c r="E118" i="32"/>
  <c r="I118" i="33" s="1"/>
  <c r="F118" i="32"/>
  <c r="J118" i="33" s="1"/>
  <c r="G118" i="32"/>
  <c r="K118" i="33" s="1"/>
  <c r="I118" i="32"/>
  <c r="M118" i="33" s="1"/>
  <c r="E119" i="32"/>
  <c r="I119" i="33" s="1"/>
  <c r="F119" i="32"/>
  <c r="J119" i="33" s="1"/>
  <c r="G119" i="32"/>
  <c r="K119" i="33" s="1"/>
  <c r="I119" i="32"/>
  <c r="M119" i="33" s="1"/>
  <c r="E120" i="32"/>
  <c r="I120" i="33" s="1"/>
  <c r="F120" i="32"/>
  <c r="J120" i="33" s="1"/>
  <c r="G120" i="32"/>
  <c r="K120" i="33" s="1"/>
  <c r="I120" i="32"/>
  <c r="M120" i="33" s="1"/>
  <c r="E121" i="32"/>
  <c r="I121" i="33" s="1"/>
  <c r="F121" i="32"/>
  <c r="J121" i="33" s="1"/>
  <c r="G121" i="32"/>
  <c r="K121" i="33" s="1"/>
  <c r="I121" i="32"/>
  <c r="M121" i="33" s="1"/>
  <c r="E122" i="32"/>
  <c r="I122" i="33" s="1"/>
  <c r="F122" i="32"/>
  <c r="J122" i="33" s="1"/>
  <c r="G122" i="32"/>
  <c r="K122" i="33" s="1"/>
  <c r="I122" i="32"/>
  <c r="M122" i="33" s="1"/>
  <c r="E123" i="32"/>
  <c r="I123" i="33" s="1"/>
  <c r="F123" i="32"/>
  <c r="J123" i="33" s="1"/>
  <c r="G123" i="32"/>
  <c r="K123" i="33" s="1"/>
  <c r="I123" i="32"/>
  <c r="M123" i="33" s="1"/>
  <c r="E126" i="32"/>
  <c r="I126" i="33" s="1"/>
  <c r="G126" i="32"/>
  <c r="K126" i="33" s="1"/>
  <c r="I126" i="32"/>
  <c r="M126" i="33" s="1"/>
  <c r="E127" i="32"/>
  <c r="I127" i="33" s="1"/>
  <c r="F127" i="32"/>
  <c r="J127" i="33" s="1"/>
  <c r="G127" i="32"/>
  <c r="K127" i="33" s="1"/>
  <c r="I127" i="32"/>
  <c r="M127" i="33" s="1"/>
  <c r="E128" i="32"/>
  <c r="I128" i="33" s="1"/>
  <c r="G128" i="32"/>
  <c r="K128" i="33" s="1"/>
  <c r="I128" i="32"/>
  <c r="M128" i="33" s="1"/>
  <c r="E129" i="32"/>
  <c r="I129" i="33" s="1"/>
  <c r="F129" i="32"/>
  <c r="J129" i="33" s="1"/>
  <c r="G129" i="32"/>
  <c r="K129" i="33" s="1"/>
  <c r="I129" i="32"/>
  <c r="M129" i="33" s="1"/>
  <c r="F132" i="32"/>
  <c r="J132" i="33" s="1"/>
  <c r="G132" i="32"/>
  <c r="K132" i="33" s="1"/>
  <c r="I132" i="32"/>
  <c r="M132" i="33" s="1"/>
  <c r="F133" i="32"/>
  <c r="J133" i="33" s="1"/>
  <c r="G133" i="32"/>
  <c r="K133" i="33" s="1"/>
  <c r="I133" i="32"/>
  <c r="M133" i="33" s="1"/>
  <c r="E136" i="32"/>
  <c r="I136" i="33" s="1"/>
  <c r="F136" i="32"/>
  <c r="J136" i="33" s="1"/>
  <c r="G136" i="32"/>
  <c r="K136" i="33" s="1"/>
  <c r="I136" i="32"/>
  <c r="M136" i="33" s="1"/>
  <c r="E137" i="32"/>
  <c r="I137" i="33" s="1"/>
  <c r="F137" i="32"/>
  <c r="J137" i="33" s="1"/>
  <c r="G137" i="32"/>
  <c r="K137" i="33" s="1"/>
  <c r="I137" i="32"/>
  <c r="M137" i="33" s="1"/>
  <c r="E138" i="32"/>
  <c r="I138" i="33" s="1"/>
  <c r="F138" i="32"/>
  <c r="J138" i="33" s="1"/>
  <c r="G138" i="32"/>
  <c r="K138" i="33" s="1"/>
  <c r="I138" i="32"/>
  <c r="M138" i="33" s="1"/>
  <c r="E139" i="32"/>
  <c r="I139" i="33" s="1"/>
  <c r="F139" i="32"/>
  <c r="J139" i="33" s="1"/>
  <c r="G139" i="32"/>
  <c r="K139" i="33" s="1"/>
  <c r="I139" i="32"/>
  <c r="M139" i="33" s="1"/>
  <c r="E140" i="32"/>
  <c r="I140" i="33" s="1"/>
  <c r="F140" i="32"/>
  <c r="J140" i="33" s="1"/>
  <c r="G140" i="32"/>
  <c r="K140" i="33" s="1"/>
  <c r="I140" i="32"/>
  <c r="M140" i="33" s="1"/>
  <c r="E141" i="32"/>
  <c r="I141" i="33" s="1"/>
  <c r="F141" i="32"/>
  <c r="J141" i="33" s="1"/>
  <c r="G141" i="32"/>
  <c r="K141" i="33" s="1"/>
  <c r="I141" i="32"/>
  <c r="M141" i="33" s="1"/>
  <c r="E142" i="32"/>
  <c r="I142" i="33" s="1"/>
  <c r="F142" i="32"/>
  <c r="J142" i="33" s="1"/>
  <c r="G142" i="32"/>
  <c r="K142" i="33" s="1"/>
  <c r="I142" i="32"/>
  <c r="M142" i="33" s="1"/>
  <c r="E143" i="32"/>
  <c r="I143" i="33" s="1"/>
  <c r="F143" i="32"/>
  <c r="J143" i="33" s="1"/>
  <c r="G143" i="32"/>
  <c r="K143" i="33" s="1"/>
  <c r="I143" i="32"/>
  <c r="M143" i="33" s="1"/>
  <c r="E144" i="32"/>
  <c r="I144" i="33" s="1"/>
  <c r="F144" i="32"/>
  <c r="J144" i="33" s="1"/>
  <c r="G144" i="32"/>
  <c r="K144" i="33" s="1"/>
  <c r="I144" i="32"/>
  <c r="M144" i="33" s="1"/>
  <c r="E145" i="32"/>
  <c r="I145" i="33" s="1"/>
  <c r="F145" i="32"/>
  <c r="J145" i="33" s="1"/>
  <c r="G145" i="32"/>
  <c r="K145" i="33" s="1"/>
  <c r="I145" i="32"/>
  <c r="M145" i="33" s="1"/>
  <c r="E146" i="32"/>
  <c r="I146" i="33" s="1"/>
  <c r="F146" i="32"/>
  <c r="J146" i="33" s="1"/>
  <c r="G146" i="32"/>
  <c r="K146" i="33" s="1"/>
  <c r="I146" i="32"/>
  <c r="M146" i="33" s="1"/>
  <c r="E147" i="32"/>
  <c r="I147" i="33" s="1"/>
  <c r="F147" i="32"/>
  <c r="J147" i="33" s="1"/>
  <c r="G147" i="32"/>
  <c r="K147" i="33" s="1"/>
  <c r="I147" i="32"/>
  <c r="M147" i="33" s="1"/>
  <c r="E148" i="32"/>
  <c r="I148" i="33" s="1"/>
  <c r="F148" i="32"/>
  <c r="J148" i="33" s="1"/>
  <c r="G148" i="32"/>
  <c r="K148" i="33" s="1"/>
  <c r="I148" i="32"/>
  <c r="M148" i="33" s="1"/>
  <c r="E149" i="32"/>
  <c r="I149" i="33" s="1"/>
  <c r="F149" i="32"/>
  <c r="J149" i="33" s="1"/>
  <c r="G149" i="32"/>
  <c r="K149" i="33" s="1"/>
  <c r="I149" i="32"/>
  <c r="M149" i="33" s="1"/>
  <c r="E150" i="32"/>
  <c r="I150" i="33" s="1"/>
  <c r="F150" i="32"/>
  <c r="J150" i="33" s="1"/>
  <c r="G150" i="32"/>
  <c r="K150" i="33" s="1"/>
  <c r="I150" i="32"/>
  <c r="M150" i="33" s="1"/>
  <c r="E151" i="32"/>
  <c r="I151" i="33" s="1"/>
  <c r="F151" i="32"/>
  <c r="J151" i="33" s="1"/>
  <c r="G151" i="32"/>
  <c r="K151" i="33" s="1"/>
  <c r="I151" i="32"/>
  <c r="M151" i="33" s="1"/>
  <c r="E152" i="32"/>
  <c r="I152" i="33" s="1"/>
  <c r="F152" i="32"/>
  <c r="J152" i="33" s="1"/>
  <c r="G152" i="32"/>
  <c r="K152" i="33" s="1"/>
  <c r="I152" i="32"/>
  <c r="M152" i="33" s="1"/>
  <c r="E153" i="32"/>
  <c r="I153" i="33" s="1"/>
  <c r="F153" i="32"/>
  <c r="J153" i="33" s="1"/>
  <c r="G153" i="32"/>
  <c r="K153" i="33" s="1"/>
  <c r="I153" i="32"/>
  <c r="M153" i="33" s="1"/>
  <c r="E154" i="32"/>
  <c r="I154" i="33" s="1"/>
  <c r="F154" i="32"/>
  <c r="J154" i="33" s="1"/>
  <c r="G154" i="32"/>
  <c r="K154" i="33" s="1"/>
  <c r="I154" i="32"/>
  <c r="M154" i="33" s="1"/>
  <c r="E155" i="32"/>
  <c r="I155" i="33" s="1"/>
  <c r="F155" i="32"/>
  <c r="J155" i="33" s="1"/>
  <c r="G155" i="32"/>
  <c r="K155" i="33" s="1"/>
  <c r="I155" i="32"/>
  <c r="M155" i="33" s="1"/>
  <c r="E156" i="32"/>
  <c r="I156" i="33" s="1"/>
  <c r="F156" i="32"/>
  <c r="J156" i="33" s="1"/>
  <c r="G156" i="32"/>
  <c r="K156" i="33" s="1"/>
  <c r="I156" i="32"/>
  <c r="M156" i="33" s="1"/>
  <c r="E157" i="32"/>
  <c r="I157" i="33" s="1"/>
  <c r="F157" i="32"/>
  <c r="J157" i="33" s="1"/>
  <c r="G157" i="32"/>
  <c r="K157" i="33" s="1"/>
  <c r="I157" i="32"/>
  <c r="M157" i="33" s="1"/>
  <c r="E158" i="32"/>
  <c r="I158" i="33" s="1"/>
  <c r="F158" i="32"/>
  <c r="J158" i="33" s="1"/>
  <c r="G158" i="32"/>
  <c r="K158" i="33" s="1"/>
  <c r="I158" i="32"/>
  <c r="M158" i="33" s="1"/>
  <c r="E159" i="32"/>
  <c r="I159" i="33" s="1"/>
  <c r="F159" i="32"/>
  <c r="J159" i="33" s="1"/>
  <c r="G159" i="32"/>
  <c r="K159" i="33" s="1"/>
  <c r="I159" i="32"/>
  <c r="M159" i="33" s="1"/>
  <c r="E160" i="32"/>
  <c r="I160" i="33" s="1"/>
  <c r="F160" i="32"/>
  <c r="J160" i="33" s="1"/>
  <c r="G160" i="32"/>
  <c r="K160" i="33" s="1"/>
  <c r="I160" i="32"/>
  <c r="M160" i="33" s="1"/>
  <c r="E161" i="32"/>
  <c r="I161" i="33" s="1"/>
  <c r="F161" i="32"/>
  <c r="J161" i="33" s="1"/>
  <c r="G161" i="32"/>
  <c r="K161" i="33" s="1"/>
  <c r="I161" i="32"/>
  <c r="M161" i="33" s="1"/>
  <c r="E162" i="32"/>
  <c r="I162" i="33" s="1"/>
  <c r="F162" i="32"/>
  <c r="J162" i="33" s="1"/>
  <c r="G162" i="32"/>
  <c r="K162" i="33" s="1"/>
  <c r="I162" i="32"/>
  <c r="M162" i="33" s="1"/>
  <c r="E163" i="32"/>
  <c r="I163" i="33" s="1"/>
  <c r="F163" i="32"/>
  <c r="J163" i="33" s="1"/>
  <c r="G163" i="32"/>
  <c r="K163" i="33" s="1"/>
  <c r="I163" i="32"/>
  <c r="M163" i="33" s="1"/>
  <c r="E164" i="32"/>
  <c r="I164" i="33" s="1"/>
  <c r="F164" i="32"/>
  <c r="J164" i="33" s="1"/>
  <c r="G164" i="32"/>
  <c r="K164" i="33" s="1"/>
  <c r="I164" i="32"/>
  <c r="M164" i="33" s="1"/>
  <c r="E165" i="32"/>
  <c r="I165" i="33" s="1"/>
  <c r="F165" i="32"/>
  <c r="J165" i="33" s="1"/>
  <c r="G165" i="32"/>
  <c r="K165" i="33" s="1"/>
  <c r="I165" i="32"/>
  <c r="M165" i="33" s="1"/>
  <c r="E166" i="32"/>
  <c r="I166" i="33" s="1"/>
  <c r="F166" i="32"/>
  <c r="J166" i="33" s="1"/>
  <c r="G166" i="32"/>
  <c r="K166" i="33" s="1"/>
  <c r="I166" i="32"/>
  <c r="M166" i="33" s="1"/>
  <c r="E167" i="32"/>
  <c r="I167" i="33" s="1"/>
  <c r="F167" i="32"/>
  <c r="J167" i="33" s="1"/>
  <c r="G167" i="32"/>
  <c r="K167" i="33" s="1"/>
  <c r="I167" i="32"/>
  <c r="M167" i="33" s="1"/>
  <c r="E168" i="32"/>
  <c r="I168" i="33" s="1"/>
  <c r="F168" i="32"/>
  <c r="J168" i="33" s="1"/>
  <c r="G168" i="32"/>
  <c r="K168" i="33" s="1"/>
  <c r="I168" i="32"/>
  <c r="M168" i="33" s="1"/>
  <c r="E169" i="32"/>
  <c r="I169" i="33" s="1"/>
  <c r="F169" i="32"/>
  <c r="J169" i="33" s="1"/>
  <c r="G169" i="32"/>
  <c r="K169" i="33" s="1"/>
  <c r="I169" i="32"/>
  <c r="M169" i="33" s="1"/>
  <c r="E173" i="32"/>
  <c r="I173" i="33" s="1"/>
  <c r="F173" i="32"/>
  <c r="J173" i="33" s="1"/>
  <c r="G173" i="32"/>
  <c r="K173" i="33" s="1"/>
  <c r="H173" i="32"/>
  <c r="L173" i="33" s="1"/>
  <c r="I173" i="32"/>
  <c r="M173" i="33" s="1"/>
  <c r="E174" i="32"/>
  <c r="I174" i="33" s="1"/>
  <c r="F174" i="32"/>
  <c r="J174" i="33" s="1"/>
  <c r="G174" i="32"/>
  <c r="K174" i="33" s="1"/>
  <c r="I174" i="32"/>
  <c r="M174" i="33" s="1"/>
  <c r="E175" i="32"/>
  <c r="I175" i="33" s="1"/>
  <c r="F175" i="32"/>
  <c r="J175" i="33" s="1"/>
  <c r="G175" i="32"/>
  <c r="K175" i="33" s="1"/>
  <c r="I175" i="32"/>
  <c r="M175" i="33" s="1"/>
  <c r="E176" i="32"/>
  <c r="I176" i="33" s="1"/>
  <c r="F176" i="32"/>
  <c r="J176" i="33" s="1"/>
  <c r="G176" i="32"/>
  <c r="K176" i="33" s="1"/>
  <c r="H176" i="32"/>
  <c r="L176" i="33" s="1"/>
  <c r="I176" i="32"/>
  <c r="M176" i="33" s="1"/>
  <c r="E177" i="32"/>
  <c r="I177" i="33" s="1"/>
  <c r="F177" i="32"/>
  <c r="J177" i="33" s="1"/>
  <c r="G177" i="32"/>
  <c r="K177" i="33" s="1"/>
  <c r="H177" i="32"/>
  <c r="L177" i="33" s="1"/>
  <c r="I177" i="32"/>
  <c r="M177" i="33" s="1"/>
  <c r="E178" i="32"/>
  <c r="I178" i="33" s="1"/>
  <c r="F178" i="32"/>
  <c r="J178" i="33" s="1"/>
  <c r="G178" i="32"/>
  <c r="K178" i="33" s="1"/>
  <c r="H178" i="32"/>
  <c r="L178" i="33" s="1"/>
  <c r="I178" i="32"/>
  <c r="M178" i="33" s="1"/>
  <c r="E179" i="32"/>
  <c r="I179" i="33" s="1"/>
  <c r="F179" i="32"/>
  <c r="J179" i="33" s="1"/>
  <c r="G179" i="32"/>
  <c r="K179" i="33" s="1"/>
  <c r="H179" i="32"/>
  <c r="L179" i="33" s="1"/>
  <c r="I179" i="32"/>
  <c r="M179" i="33" s="1"/>
  <c r="E181" i="32"/>
  <c r="I181" i="33" s="1"/>
  <c r="F181" i="32"/>
  <c r="J181" i="33" s="1"/>
  <c r="G181" i="32"/>
  <c r="K181" i="33" s="1"/>
  <c r="H181" i="32"/>
  <c r="L181" i="33" s="1"/>
  <c r="I181" i="32"/>
  <c r="M181" i="33" s="1"/>
  <c r="E182" i="32"/>
  <c r="I182" i="33" s="1"/>
  <c r="F182" i="32"/>
  <c r="J182" i="33" s="1"/>
  <c r="G182" i="32"/>
  <c r="K182" i="33" s="1"/>
  <c r="H182" i="32"/>
  <c r="L182" i="33" s="1"/>
  <c r="I182" i="32"/>
  <c r="M182" i="33" s="1"/>
  <c r="E183" i="32"/>
  <c r="I183" i="33" s="1"/>
  <c r="F183" i="32"/>
  <c r="J183" i="33" s="1"/>
  <c r="G183" i="32"/>
  <c r="K183" i="33" s="1"/>
  <c r="H183" i="32"/>
  <c r="L183" i="33" s="1"/>
  <c r="I183" i="32"/>
  <c r="M183" i="33" s="1"/>
  <c r="E184" i="32"/>
  <c r="I184" i="33" s="1"/>
  <c r="F184" i="32"/>
  <c r="J184" i="33" s="1"/>
  <c r="G184" i="32"/>
  <c r="K184" i="33" s="1"/>
  <c r="H184" i="32"/>
  <c r="L184" i="33" s="1"/>
  <c r="I184" i="32"/>
  <c r="M184" i="33" s="1"/>
  <c r="E185" i="32"/>
  <c r="I185" i="33" s="1"/>
  <c r="F185" i="32"/>
  <c r="J185" i="33" s="1"/>
  <c r="G185" i="32"/>
  <c r="K185" i="33" s="1"/>
  <c r="H185" i="32"/>
  <c r="L185" i="33" s="1"/>
  <c r="I185" i="32"/>
  <c r="M185" i="33" s="1"/>
  <c r="F78" i="32" l="1"/>
  <c r="J78" i="33" s="1"/>
  <c r="R41" i="16" l="1"/>
  <c r="R31" i="32" s="1"/>
  <c r="F31" i="32" s="1"/>
  <c r="J31" i="33" s="1"/>
  <c r="R42" i="16"/>
  <c r="R32" i="32" s="1"/>
  <c r="F32" i="32" s="1"/>
  <c r="J32" i="33" s="1"/>
  <c r="R40" i="16"/>
  <c r="R30" i="32" s="1"/>
  <c r="F30" i="32" s="1"/>
  <c r="J30" i="33" s="1"/>
  <c r="R16" i="16"/>
  <c r="R15" i="32" s="1"/>
  <c r="F15" i="32" s="1"/>
  <c r="J15" i="33" s="1"/>
  <c r="R15" i="16"/>
  <c r="R14" i="32" s="1"/>
  <c r="F14" i="32" s="1"/>
  <c r="J14" i="33" s="1"/>
  <c r="F38" i="22" l="1"/>
  <c r="F38" i="21"/>
  <c r="O7" i="1"/>
  <c r="M121" i="1" l="1"/>
  <c r="M120" i="1"/>
  <c r="M123" i="1"/>
  <c r="D131" i="1"/>
  <c r="F121" i="1"/>
  <c r="F120" i="1"/>
  <c r="H56" i="26"/>
  <c r="D55" i="26"/>
  <c r="F55" i="26" s="1"/>
  <c r="G55" i="26" s="1"/>
  <c r="H36" i="26"/>
  <c r="D35" i="26"/>
  <c r="F35" i="26" s="1"/>
  <c r="G35" i="26" s="1"/>
  <c r="F119" i="1" l="1"/>
  <c r="D113" i="33" s="1"/>
  <c r="H56" i="12"/>
  <c r="D55" i="12"/>
  <c r="F55" i="12" s="1"/>
  <c r="G55" i="12" s="1"/>
  <c r="H36" i="12"/>
  <c r="D35" i="12"/>
  <c r="F35" i="12" s="1"/>
  <c r="G35" i="12" s="1"/>
  <c r="M79" i="11" l="1"/>
  <c r="M80" i="11"/>
  <c r="K79" i="11"/>
  <c r="K80" i="11"/>
  <c r="J80" i="11"/>
  <c r="I79" i="11"/>
  <c r="I80" i="11"/>
  <c r="F40" i="16"/>
  <c r="F33" i="16"/>
  <c r="F25" i="32" s="1"/>
  <c r="J25" i="33" s="1"/>
  <c r="E33" i="16"/>
  <c r="E25" i="32" s="1"/>
  <c r="I25" i="33" s="1"/>
  <c r="I33" i="16"/>
  <c r="I25" i="32" s="1"/>
  <c r="M25" i="33" s="1"/>
  <c r="F16" i="16"/>
  <c r="F15" i="16"/>
  <c r="I15" i="11"/>
  <c r="F33" i="22"/>
  <c r="G30" i="33" s="1"/>
  <c r="F33" i="21"/>
  <c r="F30" i="33" s="1"/>
  <c r="J33" i="20"/>
  <c r="L33" i="20" s="1"/>
  <c r="E30" i="33" s="1"/>
  <c r="D182" i="1"/>
  <c r="F182" i="1" s="1"/>
  <c r="D174" i="33" s="1"/>
  <c r="E80" i="24" l="1"/>
  <c r="E79" i="24"/>
  <c r="F87" i="22"/>
  <c r="G80" i="33" s="1"/>
  <c r="F86" i="22"/>
  <c r="F85" i="22"/>
  <c r="F87" i="21"/>
  <c r="F80" i="33" s="1"/>
  <c r="J85" i="20"/>
  <c r="L85" i="20" s="1"/>
  <c r="E80" i="33" s="1"/>
  <c r="F86" i="1"/>
  <c r="D4" i="24"/>
  <c r="Q4" i="11"/>
  <c r="I4" i="16"/>
  <c r="D80" i="11" l="1"/>
  <c r="D80" i="33"/>
  <c r="H80" i="33" s="1"/>
  <c r="E80" i="11"/>
  <c r="G80" i="11"/>
  <c r="F80" i="11"/>
  <c r="F84" i="22"/>
  <c r="G79" i="33" s="1"/>
  <c r="D92" i="16"/>
  <c r="H92" i="16" s="1"/>
  <c r="L80" i="11" s="1"/>
  <c r="F80" i="24"/>
  <c r="F79" i="24"/>
  <c r="G79" i="11" l="1"/>
  <c r="J92" i="16"/>
  <c r="K92" i="16" l="1"/>
  <c r="N80" i="11"/>
  <c r="O80" i="11" s="1"/>
  <c r="P80" i="11" s="1"/>
  <c r="F86" i="21"/>
  <c r="F85" i="21"/>
  <c r="J84" i="20"/>
  <c r="L84" i="20" s="1"/>
  <c r="E79" i="33" s="1"/>
  <c r="F85" i="1"/>
  <c r="D79" i="11" l="1"/>
  <c r="D79" i="33"/>
  <c r="E79" i="11"/>
  <c r="R80" i="11"/>
  <c r="Q80" i="11"/>
  <c r="S80" i="11"/>
  <c r="F84" i="21"/>
  <c r="F79" i="33" s="1"/>
  <c r="H80" i="11"/>
  <c r="G80" i="24" s="1"/>
  <c r="D80" i="32" s="1"/>
  <c r="F39" i="1"/>
  <c r="D91" i="16" l="1"/>
  <c r="H91" i="16" s="1"/>
  <c r="H79" i="33"/>
  <c r="H80" i="32"/>
  <c r="J80" i="32" s="1"/>
  <c r="N80" i="33" s="1"/>
  <c r="O80" i="33" s="1"/>
  <c r="P80" i="33" s="1"/>
  <c r="F79" i="11"/>
  <c r="H79" i="11" s="1"/>
  <c r="G79" i="24" s="1"/>
  <c r="D79" i="32" s="1"/>
  <c r="E43" i="16"/>
  <c r="E33" i="32" s="1"/>
  <c r="I33" i="33" s="1"/>
  <c r="F9" i="1"/>
  <c r="D14" i="33" s="1"/>
  <c r="J8" i="20"/>
  <c r="L8" i="20" s="1"/>
  <c r="E14" i="33" s="1"/>
  <c r="F8" i="21"/>
  <c r="F14" i="33" s="1"/>
  <c r="F8" i="22"/>
  <c r="G14" i="33" s="1"/>
  <c r="F9" i="22"/>
  <c r="G15" i="33" s="1"/>
  <c r="F9" i="21"/>
  <c r="F15" i="33" s="1"/>
  <c r="J9" i="20"/>
  <c r="L9" i="20" s="1"/>
  <c r="E15" i="33" s="1"/>
  <c r="F10" i="1"/>
  <c r="D15" i="33" s="1"/>
  <c r="F91" i="16" l="1"/>
  <c r="J79" i="11" s="1"/>
  <c r="H14" i="33"/>
  <c r="H15" i="33"/>
  <c r="H79" i="32"/>
  <c r="L79" i="33" s="1"/>
  <c r="F79" i="32"/>
  <c r="Q80" i="33"/>
  <c r="R80" i="33"/>
  <c r="S80" i="33"/>
  <c r="L80" i="33"/>
  <c r="K80" i="32"/>
  <c r="J91" i="16"/>
  <c r="K91" i="16" s="1"/>
  <c r="L79" i="11"/>
  <c r="D16" i="16"/>
  <c r="D15" i="11"/>
  <c r="D14" i="11"/>
  <c r="D15" i="16"/>
  <c r="F34" i="1"/>
  <c r="E140" i="24"/>
  <c r="E141" i="24"/>
  <c r="E142" i="24"/>
  <c r="E143" i="24"/>
  <c r="E144" i="24"/>
  <c r="E145" i="24"/>
  <c r="E146" i="24"/>
  <c r="E147" i="24"/>
  <c r="E148" i="24"/>
  <c r="E149" i="24"/>
  <c r="E150" i="24"/>
  <c r="E151" i="24"/>
  <c r="E127" i="24"/>
  <c r="E128" i="24"/>
  <c r="E94" i="24"/>
  <c r="E95" i="24"/>
  <c r="E96" i="24"/>
  <c r="E97" i="24"/>
  <c r="G43" i="16"/>
  <c r="G33" i="32" s="1"/>
  <c r="K33" i="33" s="1"/>
  <c r="J79" i="32" l="1"/>
  <c r="N79" i="33" s="1"/>
  <c r="O79" i="33" s="1"/>
  <c r="P79" i="33" s="1"/>
  <c r="R79" i="33" s="1"/>
  <c r="J79" i="33"/>
  <c r="H40" i="16"/>
  <c r="H30" i="32" s="1"/>
  <c r="L30" i="33" s="1"/>
  <c r="D30" i="33"/>
  <c r="H30" i="33" s="1"/>
  <c r="N79" i="11"/>
  <c r="O79" i="11" s="1"/>
  <c r="P79" i="11" s="1"/>
  <c r="R79" i="11" s="1"/>
  <c r="H16" i="16"/>
  <c r="G16" i="16"/>
  <c r="G15" i="32" s="1"/>
  <c r="S79" i="33" l="1"/>
  <c r="Q79" i="33"/>
  <c r="K79" i="32"/>
  <c r="K15" i="33"/>
  <c r="S79" i="11"/>
  <c r="Q79" i="11"/>
  <c r="E13" i="24"/>
  <c r="F97" i="24"/>
  <c r="E14" i="24"/>
  <c r="E15" i="24"/>
  <c r="E16" i="24"/>
  <c r="E19" i="24"/>
  <c r="F19" i="24" s="1"/>
  <c r="E20" i="24"/>
  <c r="E21" i="24"/>
  <c r="E22" i="24"/>
  <c r="E25" i="24"/>
  <c r="E26" i="24"/>
  <c r="E30" i="24"/>
  <c r="E31" i="24"/>
  <c r="E32" i="24"/>
  <c r="E33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F47" i="24" s="1"/>
  <c r="E48" i="24"/>
  <c r="E49" i="24"/>
  <c r="E50" i="24"/>
  <c r="F39" i="24"/>
  <c r="I17" i="16"/>
  <c r="I16" i="32" s="1"/>
  <c r="M16" i="33" s="1"/>
  <c r="F17" i="16"/>
  <c r="F16" i="32" s="1"/>
  <c r="J16" i="33" s="1"/>
  <c r="E17" i="16"/>
  <c r="E16" i="32" s="1"/>
  <c r="I16" i="33" s="1"/>
  <c r="E27" i="16"/>
  <c r="E21" i="32" s="1"/>
  <c r="I21" i="33" s="1"/>
  <c r="F27" i="16"/>
  <c r="F21" i="32" s="1"/>
  <c r="J21" i="33" s="1"/>
  <c r="I27" i="16"/>
  <c r="I21" i="32" s="1"/>
  <c r="M21" i="33" s="1"/>
  <c r="I23" i="16"/>
  <c r="I20" i="32" s="1"/>
  <c r="M20" i="33" s="1"/>
  <c r="F23" i="16"/>
  <c r="F20" i="32" s="1"/>
  <c r="J20" i="33" s="1"/>
  <c r="F43" i="24" l="1"/>
  <c r="F15" i="24"/>
  <c r="F144" i="24"/>
  <c r="F146" i="24"/>
  <c r="F142" i="24"/>
  <c r="F148" i="24"/>
  <c r="F150" i="24"/>
  <c r="F140" i="24"/>
  <c r="F141" i="24"/>
  <c r="F145" i="24"/>
  <c r="F149" i="24"/>
  <c r="F147" i="24"/>
  <c r="F143" i="24"/>
  <c r="F151" i="24"/>
  <c r="F127" i="24"/>
  <c r="F128" i="24"/>
  <c r="F13" i="24"/>
  <c r="F51" i="24"/>
  <c r="F31" i="24"/>
  <c r="F96" i="24"/>
  <c r="F50" i="24"/>
  <c r="F46" i="24"/>
  <c r="F42" i="24"/>
  <c r="F38" i="24"/>
  <c r="F30" i="24"/>
  <c r="F26" i="24"/>
  <c r="F22" i="24"/>
  <c r="F14" i="24"/>
  <c r="F95" i="24"/>
  <c r="F49" i="24"/>
  <c r="F45" i="24"/>
  <c r="F41" i="24"/>
  <c r="F37" i="24"/>
  <c r="F33" i="24"/>
  <c r="F25" i="24"/>
  <c r="F21" i="24"/>
  <c r="F94" i="24"/>
  <c r="F48" i="24"/>
  <c r="F44" i="24"/>
  <c r="F40" i="24"/>
  <c r="F36" i="24"/>
  <c r="F32" i="24"/>
  <c r="F20" i="24"/>
  <c r="F16" i="24"/>
  <c r="K20" i="16" l="1"/>
  <c r="K21" i="16"/>
  <c r="K31" i="16"/>
  <c r="K32" i="16"/>
  <c r="K37" i="16"/>
  <c r="K38" i="16"/>
  <c r="K39" i="16"/>
  <c r="K46" i="16"/>
  <c r="K47" i="16"/>
  <c r="K88" i="16"/>
  <c r="K89" i="16"/>
  <c r="K123" i="16"/>
  <c r="K124" i="16"/>
  <c r="K136" i="16"/>
  <c r="K137" i="16"/>
  <c r="J184" i="20"/>
  <c r="J183" i="20"/>
  <c r="J182" i="20"/>
  <c r="J181" i="20"/>
  <c r="J180" i="20"/>
  <c r="J179" i="20"/>
  <c r="J178" i="20"/>
  <c r="J174" i="20"/>
  <c r="J173" i="20"/>
  <c r="J172" i="20"/>
  <c r="J171" i="20"/>
  <c r="J170" i="20"/>
  <c r="J169" i="20"/>
  <c r="J168" i="20"/>
  <c r="J167" i="20"/>
  <c r="J166" i="20"/>
  <c r="J165" i="20"/>
  <c r="J164" i="20"/>
  <c r="J163" i="20"/>
  <c r="J162" i="20"/>
  <c r="J161" i="20"/>
  <c r="J160" i="20"/>
  <c r="J159" i="20"/>
  <c r="J158" i="20"/>
  <c r="J157" i="20"/>
  <c r="J156" i="20"/>
  <c r="J155" i="20"/>
  <c r="J154" i="20"/>
  <c r="J153" i="20"/>
  <c r="J152" i="20"/>
  <c r="J151" i="20"/>
  <c r="J150" i="20"/>
  <c r="J149" i="20"/>
  <c r="J148" i="20"/>
  <c r="J147" i="20"/>
  <c r="J146" i="20"/>
  <c r="J145" i="20"/>
  <c r="J144" i="20"/>
  <c r="J143" i="20"/>
  <c r="J142" i="20"/>
  <c r="J141" i="20"/>
  <c r="J138" i="20"/>
  <c r="J137" i="20"/>
  <c r="J134" i="20"/>
  <c r="J133" i="20"/>
  <c r="J132" i="20"/>
  <c r="J131" i="20"/>
  <c r="J127" i="20"/>
  <c r="J126" i="20"/>
  <c r="J125" i="20"/>
  <c r="J124" i="20"/>
  <c r="J123" i="20"/>
  <c r="J122" i="20"/>
  <c r="J121" i="20"/>
  <c r="J120" i="20"/>
  <c r="J119" i="20"/>
  <c r="J115" i="20"/>
  <c r="J114" i="20"/>
  <c r="J113" i="20"/>
  <c r="J112" i="20"/>
  <c r="J111" i="20"/>
  <c r="J110" i="20"/>
  <c r="J109" i="20"/>
  <c r="J108" i="20"/>
  <c r="J107" i="20"/>
  <c r="J106" i="20"/>
  <c r="J105" i="20"/>
  <c r="J104" i="20"/>
  <c r="J103" i="20"/>
  <c r="J102" i="20"/>
  <c r="J101" i="20"/>
  <c r="J100" i="20"/>
  <c r="J99" i="20"/>
  <c r="J98" i="20"/>
  <c r="J97" i="20"/>
  <c r="J96" i="20"/>
  <c r="J95" i="20"/>
  <c r="J94" i="20"/>
  <c r="J93" i="20"/>
  <c r="J92" i="20"/>
  <c r="J91" i="20"/>
  <c r="J90" i="20"/>
  <c r="J89" i="20"/>
  <c r="J88" i="20"/>
  <c r="J87" i="20"/>
  <c r="J86" i="20"/>
  <c r="J83" i="20"/>
  <c r="J80" i="20"/>
  <c r="J79" i="20"/>
  <c r="J78" i="20"/>
  <c r="J77" i="20"/>
  <c r="J76" i="20"/>
  <c r="J75" i="20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38" i="20"/>
  <c r="L38" i="20" s="1"/>
  <c r="J37" i="20"/>
  <c r="J35" i="20"/>
  <c r="J34" i="20"/>
  <c r="J29" i="20"/>
  <c r="J28" i="20"/>
  <c r="J27" i="20"/>
  <c r="J23" i="20"/>
  <c r="J22" i="20"/>
  <c r="J21" i="20"/>
  <c r="J19" i="20"/>
  <c r="J18" i="20"/>
  <c r="J17" i="20"/>
  <c r="J15" i="20"/>
  <c r="J12" i="20"/>
  <c r="J11" i="20"/>
  <c r="E13" i="33"/>
  <c r="H16" i="26" l="1"/>
  <c r="D15" i="26"/>
  <c r="F15" i="26" s="1"/>
  <c r="G15" i="26" s="1"/>
  <c r="L3" i="26"/>
  <c r="E52" i="24"/>
  <c r="F52" i="24" s="1"/>
  <c r="E53" i="24"/>
  <c r="F53" i="24" s="1"/>
  <c r="E54" i="24"/>
  <c r="F54" i="24" s="1"/>
  <c r="E55" i="24"/>
  <c r="F55" i="24" s="1"/>
  <c r="E56" i="24"/>
  <c r="F56" i="24" s="1"/>
  <c r="E57" i="24"/>
  <c r="F57" i="24" s="1"/>
  <c r="E58" i="24"/>
  <c r="F58" i="24" s="1"/>
  <c r="E59" i="24"/>
  <c r="F59" i="24" s="1"/>
  <c r="E60" i="24"/>
  <c r="F60" i="24" s="1"/>
  <c r="E61" i="24"/>
  <c r="F61" i="24" s="1"/>
  <c r="E62" i="24"/>
  <c r="F62" i="24" s="1"/>
  <c r="E63" i="24"/>
  <c r="F63" i="24" s="1"/>
  <c r="E64" i="24"/>
  <c r="F64" i="24" s="1"/>
  <c r="E65" i="24"/>
  <c r="F65" i="24" s="1"/>
  <c r="E66" i="24"/>
  <c r="F66" i="24" s="1"/>
  <c r="E67" i="24"/>
  <c r="F67" i="24" s="1"/>
  <c r="E68" i="24"/>
  <c r="F68" i="24" s="1"/>
  <c r="E69" i="24"/>
  <c r="F69" i="24" s="1"/>
  <c r="E70" i="24"/>
  <c r="F70" i="24" s="1"/>
  <c r="E71" i="24"/>
  <c r="F71" i="24" s="1"/>
  <c r="E72" i="24"/>
  <c r="F72" i="24" s="1"/>
  <c r="E73" i="24"/>
  <c r="F73" i="24" s="1"/>
  <c r="E74" i="24"/>
  <c r="F74" i="24" s="1"/>
  <c r="E75" i="24"/>
  <c r="F75" i="24" s="1"/>
  <c r="E78" i="24"/>
  <c r="F78" i="24" s="1"/>
  <c r="E81" i="24"/>
  <c r="F81" i="24" s="1"/>
  <c r="E82" i="24"/>
  <c r="F82" i="24" s="1"/>
  <c r="E83" i="24"/>
  <c r="F83" i="24" s="1"/>
  <c r="E84" i="24"/>
  <c r="F84" i="24" s="1"/>
  <c r="E85" i="24"/>
  <c r="F85" i="24" s="1"/>
  <c r="E86" i="24"/>
  <c r="F86" i="24" s="1"/>
  <c r="E87" i="24"/>
  <c r="F87" i="24" s="1"/>
  <c r="E88" i="24"/>
  <c r="F88" i="24" s="1"/>
  <c r="E89" i="24"/>
  <c r="F89" i="24" s="1"/>
  <c r="E90" i="24"/>
  <c r="F90" i="24" s="1"/>
  <c r="E91" i="24"/>
  <c r="F91" i="24" s="1"/>
  <c r="E92" i="24"/>
  <c r="F92" i="24" s="1"/>
  <c r="E93" i="24"/>
  <c r="F93" i="24" s="1"/>
  <c r="E98" i="24"/>
  <c r="F98" i="24" s="1"/>
  <c r="E99" i="24"/>
  <c r="F99" i="24" s="1"/>
  <c r="E100" i="24"/>
  <c r="F100" i="24" s="1"/>
  <c r="E101" i="24"/>
  <c r="F101" i="24" s="1"/>
  <c r="E102" i="24"/>
  <c r="F102" i="24" s="1"/>
  <c r="E103" i="24"/>
  <c r="F103" i="24" s="1"/>
  <c r="E104" i="24"/>
  <c r="F104" i="24" s="1"/>
  <c r="E105" i="24"/>
  <c r="F105" i="24" s="1"/>
  <c r="E106" i="24"/>
  <c r="F106" i="24" s="1"/>
  <c r="E107" i="24"/>
  <c r="F107" i="24" s="1"/>
  <c r="E108" i="24"/>
  <c r="F108" i="24" s="1"/>
  <c r="E109" i="24"/>
  <c r="F109" i="24" s="1"/>
  <c r="E110" i="24"/>
  <c r="F110" i="24" s="1"/>
  <c r="E113" i="24"/>
  <c r="F113" i="24" s="1"/>
  <c r="E114" i="24"/>
  <c r="F114" i="24" s="1"/>
  <c r="E115" i="24"/>
  <c r="F115" i="24" s="1"/>
  <c r="E116" i="24"/>
  <c r="F116" i="24" s="1"/>
  <c r="E117" i="24"/>
  <c r="F117" i="24" s="1"/>
  <c r="E118" i="24"/>
  <c r="F118" i="24" s="1"/>
  <c r="E119" i="24"/>
  <c r="F119" i="24" s="1"/>
  <c r="E120" i="24"/>
  <c r="F120" i="24" s="1"/>
  <c r="E121" i="24"/>
  <c r="F121" i="24" s="1"/>
  <c r="E122" i="24"/>
  <c r="F122" i="24" s="1"/>
  <c r="E123" i="24"/>
  <c r="F123" i="24" s="1"/>
  <c r="E126" i="24"/>
  <c r="F126" i="24" s="1"/>
  <c r="E129" i="24"/>
  <c r="F129" i="24" s="1"/>
  <c r="E132" i="24"/>
  <c r="F132" i="24" s="1"/>
  <c r="E133" i="24"/>
  <c r="F133" i="24" s="1"/>
  <c r="E134" i="24"/>
  <c r="F134" i="24" s="1"/>
  <c r="E135" i="24"/>
  <c r="F135" i="24" s="1"/>
  <c r="E136" i="24"/>
  <c r="F136" i="24" s="1"/>
  <c r="E137" i="24"/>
  <c r="F137" i="24" s="1"/>
  <c r="E138" i="24"/>
  <c r="F138" i="24" s="1"/>
  <c r="E139" i="24"/>
  <c r="F139" i="24" s="1"/>
  <c r="E152" i="24"/>
  <c r="F152" i="24" s="1"/>
  <c r="E153" i="24"/>
  <c r="F153" i="24" s="1"/>
  <c r="E154" i="24"/>
  <c r="F154" i="24" s="1"/>
  <c r="E155" i="24"/>
  <c r="F155" i="24" s="1"/>
  <c r="E156" i="24"/>
  <c r="F156" i="24" s="1"/>
  <c r="E157" i="24"/>
  <c r="F157" i="24" s="1"/>
  <c r="E158" i="24"/>
  <c r="F158" i="24" s="1"/>
  <c r="E159" i="24"/>
  <c r="F159" i="24" s="1"/>
  <c r="E160" i="24"/>
  <c r="F160" i="24" s="1"/>
  <c r="E161" i="24"/>
  <c r="F161" i="24" s="1"/>
  <c r="E162" i="24"/>
  <c r="F162" i="24" s="1"/>
  <c r="E163" i="24"/>
  <c r="F163" i="24" s="1"/>
  <c r="E164" i="24"/>
  <c r="F164" i="24" s="1"/>
  <c r="E165" i="24"/>
  <c r="F165" i="24" s="1"/>
  <c r="E166" i="24"/>
  <c r="F166" i="24" s="1"/>
  <c r="E167" i="24"/>
  <c r="F167" i="24" s="1"/>
  <c r="E168" i="24"/>
  <c r="F168" i="24" s="1"/>
  <c r="E169" i="24"/>
  <c r="F169" i="24" s="1"/>
  <c r="E170" i="24"/>
  <c r="F170" i="24" s="1"/>
  <c r="E171" i="24"/>
  <c r="F171" i="24" s="1"/>
  <c r="E172" i="24"/>
  <c r="F172" i="24" s="1"/>
  <c r="E173" i="24"/>
  <c r="F173" i="24" s="1"/>
  <c r="E174" i="24"/>
  <c r="F174" i="24" s="1"/>
  <c r="E175" i="24"/>
  <c r="F175" i="24" s="1"/>
  <c r="E176" i="24"/>
  <c r="F176" i="24" s="1"/>
  <c r="E177" i="24"/>
  <c r="F177" i="24" s="1"/>
  <c r="E178" i="24"/>
  <c r="F178" i="24" s="1"/>
  <c r="E179" i="24"/>
  <c r="F179" i="24" s="1"/>
  <c r="E180" i="24"/>
  <c r="F180" i="24" s="1"/>
  <c r="E181" i="24"/>
  <c r="F181" i="24" s="1"/>
  <c r="E182" i="24"/>
  <c r="F182" i="24" s="1"/>
  <c r="E183" i="24"/>
  <c r="F183" i="24" s="1"/>
  <c r="E184" i="24"/>
  <c r="F184" i="24" s="1"/>
  <c r="E185" i="24"/>
  <c r="F185" i="24" s="1"/>
  <c r="J128" i="20" l="1"/>
  <c r="J189" i="20"/>
  <c r="J188" i="20"/>
  <c r="J187" i="20"/>
  <c r="J190" i="20"/>
  <c r="J186" i="20"/>
  <c r="L186" i="20" s="1"/>
  <c r="E181" i="33" s="1"/>
  <c r="W15" i="11" l="1"/>
  <c r="V15" i="11"/>
  <c r="U15" i="11"/>
  <c r="AH81" i="11"/>
  <c r="AG81" i="11"/>
  <c r="AF81" i="11"/>
  <c r="AE81" i="11"/>
  <c r="F22" i="16" l="1"/>
  <c r="F41" i="16" l="1"/>
  <c r="F42" i="16"/>
  <c r="D15" i="12"/>
  <c r="W128" i="11"/>
  <c r="U128" i="11"/>
  <c r="W126" i="11"/>
  <c r="V126" i="11"/>
  <c r="U126" i="11"/>
  <c r="V110" i="11"/>
  <c r="W110" i="11"/>
  <c r="U110" i="11"/>
  <c r="V75" i="11"/>
  <c r="W75" i="11"/>
  <c r="U75" i="11"/>
  <c r="J32" i="11" l="1"/>
  <c r="J31" i="11"/>
  <c r="H23" i="11"/>
  <c r="H24" i="11"/>
  <c r="H27" i="11"/>
  <c r="H28" i="11"/>
  <c r="H29" i="11"/>
  <c r="H34" i="11"/>
  <c r="H35" i="11"/>
  <c r="J14" i="11"/>
  <c r="N90" i="16" l="1"/>
  <c r="F90" i="16" s="1"/>
  <c r="J78" i="11" l="1"/>
  <c r="D142" i="16"/>
  <c r="D143" i="16"/>
  <c r="D146" i="16"/>
  <c r="H146" i="16" s="1"/>
  <c r="D147" i="16"/>
  <c r="D182" i="16"/>
  <c r="D183" i="16"/>
  <c r="D184" i="16"/>
  <c r="F7" i="1"/>
  <c r="F187" i="22"/>
  <c r="G180" i="33" s="1"/>
  <c r="F186" i="22"/>
  <c r="G179" i="33" s="1"/>
  <c r="F185" i="22"/>
  <c r="G178" i="33" s="1"/>
  <c r="F184" i="22"/>
  <c r="G177" i="33" s="1"/>
  <c r="F183" i="22"/>
  <c r="G176" i="33" s="1"/>
  <c r="F182" i="22"/>
  <c r="G175" i="33" s="1"/>
  <c r="F181" i="22"/>
  <c r="G174" i="33" s="1"/>
  <c r="F180" i="22"/>
  <c r="G173" i="33" s="1"/>
  <c r="F176" i="22"/>
  <c r="G169" i="33" s="1"/>
  <c r="F175" i="22"/>
  <c r="G168" i="33" s="1"/>
  <c r="F174" i="22"/>
  <c r="G167" i="33" s="1"/>
  <c r="F173" i="22"/>
  <c r="G166" i="33" s="1"/>
  <c r="F172" i="22"/>
  <c r="G165" i="33" s="1"/>
  <c r="F171" i="22"/>
  <c r="G164" i="33" s="1"/>
  <c r="F170" i="22"/>
  <c r="G163" i="33" s="1"/>
  <c r="F169" i="22"/>
  <c r="G162" i="33" s="1"/>
  <c r="F168" i="22"/>
  <c r="G161" i="33" s="1"/>
  <c r="F167" i="22"/>
  <c r="G160" i="33" s="1"/>
  <c r="F166" i="22"/>
  <c r="G159" i="33" s="1"/>
  <c r="F165" i="22"/>
  <c r="G158" i="33" s="1"/>
  <c r="F164" i="22"/>
  <c r="G157" i="33" s="1"/>
  <c r="F163" i="22"/>
  <c r="G156" i="33" s="1"/>
  <c r="F162" i="22"/>
  <c r="G155" i="33" s="1"/>
  <c r="F161" i="22"/>
  <c r="G154" i="33" s="1"/>
  <c r="F160" i="22"/>
  <c r="G153" i="33" s="1"/>
  <c r="F159" i="22"/>
  <c r="G152" i="33" s="1"/>
  <c r="F158" i="22"/>
  <c r="G151" i="33" s="1"/>
  <c r="F157" i="22"/>
  <c r="G150" i="33" s="1"/>
  <c r="F156" i="22"/>
  <c r="G149" i="33" s="1"/>
  <c r="F155" i="22"/>
  <c r="G148" i="33" s="1"/>
  <c r="F154" i="22"/>
  <c r="G147" i="33" s="1"/>
  <c r="F153" i="22"/>
  <c r="G146" i="33" s="1"/>
  <c r="F152" i="22"/>
  <c r="G145" i="33" s="1"/>
  <c r="F151" i="22"/>
  <c r="G144" i="33" s="1"/>
  <c r="F150" i="22"/>
  <c r="G143" i="33" s="1"/>
  <c r="F149" i="22"/>
  <c r="G142" i="33" s="1"/>
  <c r="F148" i="22"/>
  <c r="G141" i="33" s="1"/>
  <c r="F147" i="22"/>
  <c r="G140" i="33" s="1"/>
  <c r="F146" i="22"/>
  <c r="G139" i="33" s="1"/>
  <c r="F145" i="22"/>
  <c r="G138" i="33" s="1"/>
  <c r="F144" i="22"/>
  <c r="G137" i="33" s="1"/>
  <c r="F143" i="22"/>
  <c r="G136" i="33" s="1"/>
  <c r="F140" i="22"/>
  <c r="G133" i="33" s="1"/>
  <c r="F139" i="22"/>
  <c r="G132" i="33" s="1"/>
  <c r="F136" i="22"/>
  <c r="G129" i="33" s="1"/>
  <c r="F135" i="22"/>
  <c r="G128" i="33" s="1"/>
  <c r="F134" i="22"/>
  <c r="G127" i="33" s="1"/>
  <c r="F133" i="22"/>
  <c r="G126" i="33" s="1"/>
  <c r="F130" i="22"/>
  <c r="F129" i="22"/>
  <c r="F128" i="22"/>
  <c r="F127" i="22"/>
  <c r="F126" i="22"/>
  <c r="F125" i="22"/>
  <c r="F124" i="22"/>
  <c r="F123" i="22"/>
  <c r="F122" i="22"/>
  <c r="F121" i="22"/>
  <c r="F120" i="22"/>
  <c r="G113" i="33" s="1"/>
  <c r="F117" i="22"/>
  <c r="G110" i="33" s="1"/>
  <c r="F116" i="22"/>
  <c r="G109" i="33" s="1"/>
  <c r="F115" i="22"/>
  <c r="G108" i="33" s="1"/>
  <c r="F114" i="22"/>
  <c r="G107" i="33" s="1"/>
  <c r="F113" i="22"/>
  <c r="G106" i="33" s="1"/>
  <c r="F112" i="22"/>
  <c r="G105" i="33" s="1"/>
  <c r="F111" i="22"/>
  <c r="G104" i="33" s="1"/>
  <c r="F110" i="22"/>
  <c r="G103" i="33" s="1"/>
  <c r="F109" i="22"/>
  <c r="G102" i="33" s="1"/>
  <c r="F108" i="22"/>
  <c r="G101" i="33" s="1"/>
  <c r="F107" i="22"/>
  <c r="G100" i="33" s="1"/>
  <c r="F106" i="22"/>
  <c r="G99" i="33" s="1"/>
  <c r="F105" i="22"/>
  <c r="G98" i="33" s="1"/>
  <c r="F104" i="22"/>
  <c r="G97" i="33" s="1"/>
  <c r="F103" i="22"/>
  <c r="G96" i="33" s="1"/>
  <c r="F102" i="22"/>
  <c r="G95" i="33" s="1"/>
  <c r="F101" i="22"/>
  <c r="G94" i="33" s="1"/>
  <c r="F100" i="22"/>
  <c r="G93" i="33" s="1"/>
  <c r="F99" i="22"/>
  <c r="G92" i="33" s="1"/>
  <c r="F98" i="22"/>
  <c r="G91" i="33" s="1"/>
  <c r="F97" i="22"/>
  <c r="G90" i="33" s="1"/>
  <c r="F96" i="22"/>
  <c r="G89" i="33" s="1"/>
  <c r="F95" i="22"/>
  <c r="G88" i="33" s="1"/>
  <c r="F94" i="22"/>
  <c r="G87" i="33" s="1"/>
  <c r="F93" i="22"/>
  <c r="G86" i="33" s="1"/>
  <c r="F92" i="22"/>
  <c r="G85" i="33" s="1"/>
  <c r="F91" i="22"/>
  <c r="G84" i="33" s="1"/>
  <c r="F90" i="22"/>
  <c r="G83" i="33" s="1"/>
  <c r="F89" i="22"/>
  <c r="G82" i="33" s="1"/>
  <c r="F88" i="22"/>
  <c r="G81" i="33" s="1"/>
  <c r="F83" i="22"/>
  <c r="G78" i="33" s="1"/>
  <c r="F80" i="22"/>
  <c r="G75" i="33" s="1"/>
  <c r="F79" i="22"/>
  <c r="G74" i="33" s="1"/>
  <c r="F78" i="22"/>
  <c r="G73" i="33" s="1"/>
  <c r="F77" i="22"/>
  <c r="G72" i="33" s="1"/>
  <c r="F76" i="22"/>
  <c r="G71" i="33" s="1"/>
  <c r="F75" i="22"/>
  <c r="G70" i="33" s="1"/>
  <c r="F74" i="22"/>
  <c r="G69" i="33" s="1"/>
  <c r="F73" i="22"/>
  <c r="G68" i="33" s="1"/>
  <c r="F72" i="22"/>
  <c r="G67" i="33" s="1"/>
  <c r="F71" i="22"/>
  <c r="G66" i="33" s="1"/>
  <c r="F70" i="22"/>
  <c r="G65" i="33" s="1"/>
  <c r="F69" i="22"/>
  <c r="G64" i="33" s="1"/>
  <c r="F68" i="22"/>
  <c r="G63" i="33" s="1"/>
  <c r="F67" i="22"/>
  <c r="G62" i="33" s="1"/>
  <c r="F66" i="22"/>
  <c r="G61" i="33" s="1"/>
  <c r="F65" i="22"/>
  <c r="G60" i="33" s="1"/>
  <c r="F64" i="22"/>
  <c r="G59" i="33" s="1"/>
  <c r="F63" i="22"/>
  <c r="G58" i="33" s="1"/>
  <c r="F62" i="22"/>
  <c r="G57" i="33" s="1"/>
  <c r="F61" i="22"/>
  <c r="G56" i="33" s="1"/>
  <c r="F60" i="22"/>
  <c r="G55" i="33" s="1"/>
  <c r="F59" i="22"/>
  <c r="G54" i="33" s="1"/>
  <c r="F58" i="22"/>
  <c r="G53" i="33" s="1"/>
  <c r="F57" i="22"/>
  <c r="G52" i="33" s="1"/>
  <c r="F56" i="22"/>
  <c r="G51" i="33" s="1"/>
  <c r="F55" i="22"/>
  <c r="G50" i="33" s="1"/>
  <c r="F54" i="22"/>
  <c r="G49" i="33" s="1"/>
  <c r="F53" i="22"/>
  <c r="G48" i="33" s="1"/>
  <c r="F52" i="22"/>
  <c r="G47" i="33" s="1"/>
  <c r="F51" i="22"/>
  <c r="G46" i="33" s="1"/>
  <c r="F50" i="22"/>
  <c r="G45" i="33" s="1"/>
  <c r="F49" i="22"/>
  <c r="G44" i="33" s="1"/>
  <c r="F48" i="22"/>
  <c r="G43" i="33" s="1"/>
  <c r="F47" i="22"/>
  <c r="G42" i="33" s="1"/>
  <c r="F46" i="22"/>
  <c r="G41" i="33" s="1"/>
  <c r="F45" i="22"/>
  <c r="G40" i="33" s="1"/>
  <c r="F44" i="22"/>
  <c r="G39" i="33" s="1"/>
  <c r="F43" i="22"/>
  <c r="G38" i="33" s="1"/>
  <c r="F42" i="22"/>
  <c r="G37" i="33" s="1"/>
  <c r="F41" i="22"/>
  <c r="G36" i="33" s="1"/>
  <c r="F37" i="22"/>
  <c r="F35" i="22"/>
  <c r="G32" i="33" s="1"/>
  <c r="F34" i="22"/>
  <c r="G31" i="33" s="1"/>
  <c r="F29" i="22"/>
  <c r="G26" i="33" s="1"/>
  <c r="F28" i="22"/>
  <c r="F27" i="22"/>
  <c r="F23" i="22"/>
  <c r="G22" i="33" s="1"/>
  <c r="F22" i="22"/>
  <c r="F21" i="22"/>
  <c r="F19" i="22"/>
  <c r="F18" i="22"/>
  <c r="F17" i="22"/>
  <c r="F15" i="22"/>
  <c r="G19" i="33" s="1"/>
  <c r="F12" i="22"/>
  <c r="F11" i="22"/>
  <c r="F7" i="22"/>
  <c r="G13" i="33" s="1"/>
  <c r="F181" i="21"/>
  <c r="F174" i="33" s="1"/>
  <c r="F187" i="21"/>
  <c r="F180" i="33" s="1"/>
  <c r="F186" i="21"/>
  <c r="F179" i="33" s="1"/>
  <c r="F185" i="21"/>
  <c r="F178" i="33" s="1"/>
  <c r="F184" i="21"/>
  <c r="F177" i="33" s="1"/>
  <c r="F183" i="21"/>
  <c r="F176" i="33" s="1"/>
  <c r="F182" i="21"/>
  <c r="F175" i="33" s="1"/>
  <c r="F180" i="21"/>
  <c r="F173" i="33" s="1"/>
  <c r="F176" i="21"/>
  <c r="F169" i="33" s="1"/>
  <c r="F175" i="21"/>
  <c r="F168" i="33" s="1"/>
  <c r="F174" i="21"/>
  <c r="F167" i="33" s="1"/>
  <c r="F173" i="21"/>
  <c r="F166" i="33" s="1"/>
  <c r="F172" i="21"/>
  <c r="F165" i="33" s="1"/>
  <c r="F171" i="21"/>
  <c r="F164" i="33" s="1"/>
  <c r="F170" i="21"/>
  <c r="F163" i="33" s="1"/>
  <c r="F169" i="21"/>
  <c r="F162" i="33" s="1"/>
  <c r="F168" i="21"/>
  <c r="F161" i="33" s="1"/>
  <c r="F167" i="21"/>
  <c r="F160" i="33" s="1"/>
  <c r="F166" i="21"/>
  <c r="F159" i="33" s="1"/>
  <c r="F165" i="21"/>
  <c r="F158" i="33" s="1"/>
  <c r="F164" i="21"/>
  <c r="F157" i="33" s="1"/>
  <c r="F163" i="21"/>
  <c r="F156" i="33" s="1"/>
  <c r="F162" i="21"/>
  <c r="F155" i="33" s="1"/>
  <c r="F161" i="21"/>
  <c r="F154" i="33" s="1"/>
  <c r="F160" i="21"/>
  <c r="F153" i="33" s="1"/>
  <c r="F159" i="21"/>
  <c r="F152" i="33" s="1"/>
  <c r="F158" i="21"/>
  <c r="F151" i="33" s="1"/>
  <c r="F157" i="21"/>
  <c r="F150" i="33" s="1"/>
  <c r="F156" i="21"/>
  <c r="F149" i="33" s="1"/>
  <c r="F155" i="21"/>
  <c r="F148" i="33" s="1"/>
  <c r="F154" i="21"/>
  <c r="F147" i="33" s="1"/>
  <c r="F153" i="21"/>
  <c r="F146" i="33" s="1"/>
  <c r="F152" i="21"/>
  <c r="F145" i="33" s="1"/>
  <c r="F151" i="21"/>
  <c r="F144" i="33" s="1"/>
  <c r="F150" i="21"/>
  <c r="F143" i="33" s="1"/>
  <c r="F149" i="21"/>
  <c r="F142" i="33" s="1"/>
  <c r="F148" i="21"/>
  <c r="F141" i="33" s="1"/>
  <c r="F147" i="21"/>
  <c r="F140" i="33" s="1"/>
  <c r="F146" i="21"/>
  <c r="F139" i="33" s="1"/>
  <c r="F145" i="21"/>
  <c r="F138" i="33" s="1"/>
  <c r="F144" i="21"/>
  <c r="F137" i="33" s="1"/>
  <c r="F143" i="21"/>
  <c r="F136" i="33" s="1"/>
  <c r="F140" i="21"/>
  <c r="F133" i="33" s="1"/>
  <c r="F139" i="21"/>
  <c r="F132" i="33" s="1"/>
  <c r="F136" i="21"/>
  <c r="F129" i="33" s="1"/>
  <c r="F135" i="21"/>
  <c r="F128" i="33" s="1"/>
  <c r="F134" i="21"/>
  <c r="F127" i="33" s="1"/>
  <c r="F133" i="21"/>
  <c r="F126" i="33" s="1"/>
  <c r="F130" i="21"/>
  <c r="F129" i="21"/>
  <c r="F128" i="21"/>
  <c r="F127" i="21"/>
  <c r="F126" i="21"/>
  <c r="F125" i="21"/>
  <c r="F124" i="21"/>
  <c r="F123" i="21"/>
  <c r="F122" i="21"/>
  <c r="F121" i="21"/>
  <c r="F120" i="21"/>
  <c r="F113" i="33" s="1"/>
  <c r="F117" i="21"/>
  <c r="F110" i="33" s="1"/>
  <c r="F116" i="21"/>
  <c r="F109" i="33" s="1"/>
  <c r="F115" i="21"/>
  <c r="F108" i="33" s="1"/>
  <c r="F114" i="21"/>
  <c r="F107" i="33" s="1"/>
  <c r="F113" i="21"/>
  <c r="F106" i="33" s="1"/>
  <c r="F112" i="21"/>
  <c r="F105" i="33" s="1"/>
  <c r="F111" i="21"/>
  <c r="F104" i="33" s="1"/>
  <c r="F110" i="21"/>
  <c r="F103" i="33" s="1"/>
  <c r="F109" i="21"/>
  <c r="F102" i="33" s="1"/>
  <c r="F108" i="21"/>
  <c r="F101" i="33" s="1"/>
  <c r="F107" i="21"/>
  <c r="F100" i="33" s="1"/>
  <c r="F106" i="21"/>
  <c r="F99" i="33" s="1"/>
  <c r="F105" i="21"/>
  <c r="F98" i="33" s="1"/>
  <c r="F104" i="21"/>
  <c r="F97" i="33" s="1"/>
  <c r="F103" i="21"/>
  <c r="F96" i="33" s="1"/>
  <c r="F102" i="21"/>
  <c r="F95" i="33" s="1"/>
  <c r="F101" i="21"/>
  <c r="F94" i="33" s="1"/>
  <c r="F100" i="21"/>
  <c r="F93" i="33" s="1"/>
  <c r="F99" i="21"/>
  <c r="F92" i="33" s="1"/>
  <c r="F98" i="21"/>
  <c r="F91" i="33" s="1"/>
  <c r="F97" i="21"/>
  <c r="F90" i="33" s="1"/>
  <c r="F96" i="21"/>
  <c r="F89" i="33" s="1"/>
  <c r="F95" i="21"/>
  <c r="F88" i="33" s="1"/>
  <c r="F94" i="21"/>
  <c r="F87" i="33" s="1"/>
  <c r="F93" i="21"/>
  <c r="F86" i="33" s="1"/>
  <c r="F92" i="21"/>
  <c r="F85" i="33" s="1"/>
  <c r="F91" i="21"/>
  <c r="F84" i="33" s="1"/>
  <c r="F90" i="21"/>
  <c r="F83" i="33" s="1"/>
  <c r="F89" i="21"/>
  <c r="F82" i="33" s="1"/>
  <c r="F88" i="21"/>
  <c r="F81" i="33" s="1"/>
  <c r="F83" i="21"/>
  <c r="F78" i="33" s="1"/>
  <c r="F80" i="21"/>
  <c r="F75" i="33" s="1"/>
  <c r="F79" i="21"/>
  <c r="F74" i="33" s="1"/>
  <c r="F78" i="21"/>
  <c r="F73" i="33" s="1"/>
  <c r="F77" i="21"/>
  <c r="F72" i="33" s="1"/>
  <c r="F76" i="21"/>
  <c r="F71" i="33" s="1"/>
  <c r="F75" i="21"/>
  <c r="F70" i="33" s="1"/>
  <c r="F74" i="21"/>
  <c r="F69" i="33" s="1"/>
  <c r="F73" i="21"/>
  <c r="F68" i="33" s="1"/>
  <c r="F72" i="21"/>
  <c r="F67" i="33" s="1"/>
  <c r="F71" i="21"/>
  <c r="F66" i="33" s="1"/>
  <c r="F70" i="21"/>
  <c r="F65" i="33" s="1"/>
  <c r="F69" i="21"/>
  <c r="F64" i="33" s="1"/>
  <c r="F68" i="21"/>
  <c r="F63" i="33" s="1"/>
  <c r="F67" i="21"/>
  <c r="F62" i="33" s="1"/>
  <c r="F66" i="21"/>
  <c r="F61" i="33" s="1"/>
  <c r="F65" i="21"/>
  <c r="F60" i="33" s="1"/>
  <c r="F64" i="21"/>
  <c r="F59" i="33" s="1"/>
  <c r="F63" i="21"/>
  <c r="F58" i="33" s="1"/>
  <c r="F62" i="21"/>
  <c r="F57" i="33" s="1"/>
  <c r="F61" i="21"/>
  <c r="F56" i="33" s="1"/>
  <c r="F60" i="21"/>
  <c r="F55" i="33" s="1"/>
  <c r="F59" i="21"/>
  <c r="F54" i="33" s="1"/>
  <c r="F58" i="21"/>
  <c r="F53" i="33" s="1"/>
  <c r="F57" i="21"/>
  <c r="F52" i="33" s="1"/>
  <c r="F56" i="21"/>
  <c r="F51" i="33" s="1"/>
  <c r="F55" i="21"/>
  <c r="F50" i="33" s="1"/>
  <c r="F54" i="21"/>
  <c r="F49" i="33" s="1"/>
  <c r="F53" i="21"/>
  <c r="F48" i="33" s="1"/>
  <c r="F52" i="21"/>
  <c r="F47" i="33" s="1"/>
  <c r="F51" i="21"/>
  <c r="F46" i="33" s="1"/>
  <c r="F50" i="21"/>
  <c r="F45" i="33" s="1"/>
  <c r="F49" i="21"/>
  <c r="F44" i="33" s="1"/>
  <c r="F48" i="21"/>
  <c r="F43" i="33" s="1"/>
  <c r="F47" i="21"/>
  <c r="F42" i="33" s="1"/>
  <c r="F46" i="21"/>
  <c r="F41" i="33" s="1"/>
  <c r="F45" i="21"/>
  <c r="F40" i="33" s="1"/>
  <c r="F44" i="21"/>
  <c r="F39" i="33" s="1"/>
  <c r="F43" i="21"/>
  <c r="F38" i="33" s="1"/>
  <c r="F42" i="21"/>
  <c r="F37" i="33" s="1"/>
  <c r="F41" i="21"/>
  <c r="F36" i="33" s="1"/>
  <c r="F37" i="21"/>
  <c r="F35" i="21"/>
  <c r="F32" i="33" s="1"/>
  <c r="F34" i="21"/>
  <c r="F31" i="33" s="1"/>
  <c r="F29" i="21"/>
  <c r="F28" i="21"/>
  <c r="F27" i="21"/>
  <c r="F23" i="21"/>
  <c r="F22" i="33" s="1"/>
  <c r="F22" i="21"/>
  <c r="F21" i="21"/>
  <c r="F19" i="21"/>
  <c r="F18" i="21"/>
  <c r="F17" i="21"/>
  <c r="F15" i="21"/>
  <c r="F19" i="33" s="1"/>
  <c r="F12" i="21"/>
  <c r="F11" i="21"/>
  <c r="F7" i="21"/>
  <c r="F13" i="33" s="1"/>
  <c r="L17" i="20"/>
  <c r="L21" i="20"/>
  <c r="L22" i="20"/>
  <c r="L29" i="20"/>
  <c r="L35" i="20"/>
  <c r="E32" i="33" s="1"/>
  <c r="L43" i="20"/>
  <c r="E38" i="33" s="1"/>
  <c r="L46" i="20"/>
  <c r="E41" i="33" s="1"/>
  <c r="L47" i="20"/>
  <c r="E42" i="33" s="1"/>
  <c r="L51" i="20"/>
  <c r="E46" i="33" s="1"/>
  <c r="L52" i="20"/>
  <c r="E47" i="33" s="1"/>
  <c r="L55" i="20"/>
  <c r="E50" i="33" s="1"/>
  <c r="L59" i="20"/>
  <c r="E54" i="33" s="1"/>
  <c r="L62" i="20"/>
  <c r="E57" i="33" s="1"/>
  <c r="L63" i="20"/>
  <c r="E58" i="33" s="1"/>
  <c r="L66" i="20"/>
  <c r="E61" i="33" s="1"/>
  <c r="L67" i="20"/>
  <c r="E62" i="33" s="1"/>
  <c r="L70" i="20"/>
  <c r="E65" i="33" s="1"/>
  <c r="L71" i="20"/>
  <c r="E66" i="33" s="1"/>
  <c r="L74" i="20"/>
  <c r="E69" i="33" s="1"/>
  <c r="L75" i="20"/>
  <c r="E70" i="33" s="1"/>
  <c r="L78" i="20"/>
  <c r="E73" i="33" s="1"/>
  <c r="L79" i="20"/>
  <c r="E74" i="33" s="1"/>
  <c r="L83" i="20"/>
  <c r="E78" i="33" s="1"/>
  <c r="L87" i="20"/>
  <c r="E82" i="33" s="1"/>
  <c r="L88" i="20"/>
  <c r="E83" i="33" s="1"/>
  <c r="L89" i="20"/>
  <c r="E84" i="33" s="1"/>
  <c r="L93" i="20"/>
  <c r="E88" i="33" s="1"/>
  <c r="L94" i="20"/>
  <c r="E89" i="33" s="1"/>
  <c r="L95" i="20"/>
  <c r="E90" i="33" s="1"/>
  <c r="L97" i="20"/>
  <c r="E92" i="33" s="1"/>
  <c r="L99" i="20"/>
  <c r="E94" i="33" s="1"/>
  <c r="L101" i="20"/>
  <c r="E96" i="33" s="1"/>
  <c r="L103" i="20"/>
  <c r="E98" i="33" s="1"/>
  <c r="L104" i="20"/>
  <c r="E99" i="33" s="1"/>
  <c r="L107" i="20"/>
  <c r="E102" i="33" s="1"/>
  <c r="L108" i="20"/>
  <c r="E103" i="33" s="1"/>
  <c r="L109" i="20"/>
  <c r="E104" i="33" s="1"/>
  <c r="L110" i="20"/>
  <c r="E105" i="33" s="1"/>
  <c r="L112" i="20"/>
  <c r="E107" i="33" s="1"/>
  <c r="L114" i="20"/>
  <c r="E109" i="33" s="1"/>
  <c r="L115" i="20"/>
  <c r="E110" i="33" s="1"/>
  <c r="L118" i="20"/>
  <c r="E113" i="33" s="1"/>
  <c r="L119" i="20"/>
  <c r="E114" i="33" s="1"/>
  <c r="L122" i="20"/>
  <c r="L123" i="20"/>
  <c r="L127" i="20"/>
  <c r="L131" i="20"/>
  <c r="E126" i="33" s="1"/>
  <c r="L134" i="20"/>
  <c r="E129" i="33" s="1"/>
  <c r="L141" i="20"/>
  <c r="E136" i="33" s="1"/>
  <c r="L142" i="20"/>
  <c r="E137" i="33" s="1"/>
  <c r="L143" i="20"/>
  <c r="E138" i="33" s="1"/>
  <c r="L146" i="20"/>
  <c r="E141" i="33" s="1"/>
  <c r="L147" i="20"/>
  <c r="E142" i="33" s="1"/>
  <c r="L149" i="20"/>
  <c r="E144" i="33" s="1"/>
  <c r="L150" i="20"/>
  <c r="E145" i="33" s="1"/>
  <c r="L151" i="20"/>
  <c r="E146" i="33" s="1"/>
  <c r="L154" i="20"/>
  <c r="E149" i="33" s="1"/>
  <c r="L155" i="20"/>
  <c r="E150" i="33" s="1"/>
  <c r="L157" i="20"/>
  <c r="E152" i="33" s="1"/>
  <c r="L158" i="20"/>
  <c r="E153" i="33" s="1"/>
  <c r="L159" i="20"/>
  <c r="E154" i="33" s="1"/>
  <c r="L162" i="20"/>
  <c r="E157" i="33" s="1"/>
  <c r="L163" i="20"/>
  <c r="E158" i="33" s="1"/>
  <c r="L165" i="20"/>
  <c r="E160" i="33" s="1"/>
  <c r="L166" i="20"/>
  <c r="E161" i="33" s="1"/>
  <c r="L167" i="20"/>
  <c r="E162" i="33" s="1"/>
  <c r="L170" i="20"/>
  <c r="E165" i="33" s="1"/>
  <c r="L171" i="20"/>
  <c r="E166" i="33" s="1"/>
  <c r="L173" i="20"/>
  <c r="E168" i="33" s="1"/>
  <c r="L174" i="20"/>
  <c r="E169" i="33" s="1"/>
  <c r="L178" i="20"/>
  <c r="E173" i="33" s="1"/>
  <c r="L182" i="20"/>
  <c r="E177" i="33" s="1"/>
  <c r="L183" i="20"/>
  <c r="E178" i="33" s="1"/>
  <c r="L185" i="20"/>
  <c r="L184" i="20"/>
  <c r="E179" i="33" s="1"/>
  <c r="L181" i="20"/>
  <c r="E176" i="33" s="1"/>
  <c r="L180" i="20"/>
  <c r="E175" i="33" s="1"/>
  <c r="L172" i="20"/>
  <c r="E167" i="33" s="1"/>
  <c r="L169" i="20"/>
  <c r="E164" i="33" s="1"/>
  <c r="L168" i="20"/>
  <c r="E163" i="33" s="1"/>
  <c r="L164" i="20"/>
  <c r="E159" i="33" s="1"/>
  <c r="L161" i="20"/>
  <c r="E156" i="33" s="1"/>
  <c r="L160" i="20"/>
  <c r="E155" i="33" s="1"/>
  <c r="L156" i="20"/>
  <c r="E151" i="33" s="1"/>
  <c r="L153" i="20"/>
  <c r="E148" i="33" s="1"/>
  <c r="L152" i="20"/>
  <c r="E147" i="33" s="1"/>
  <c r="L148" i="20"/>
  <c r="E143" i="33" s="1"/>
  <c r="L145" i="20"/>
  <c r="E140" i="33" s="1"/>
  <c r="L144" i="20"/>
  <c r="E139" i="33" s="1"/>
  <c r="L138" i="20"/>
  <c r="E133" i="33" s="1"/>
  <c r="L137" i="20"/>
  <c r="E132" i="33" s="1"/>
  <c r="L133" i="20"/>
  <c r="E128" i="33" s="1"/>
  <c r="L132" i="20"/>
  <c r="E127" i="33" s="1"/>
  <c r="L126" i="20"/>
  <c r="L125" i="20"/>
  <c r="L124" i="20"/>
  <c r="L121" i="20"/>
  <c r="L120" i="20"/>
  <c r="L113" i="20"/>
  <c r="E108" i="33" s="1"/>
  <c r="L111" i="20"/>
  <c r="E106" i="33" s="1"/>
  <c r="L106" i="20"/>
  <c r="E101" i="33" s="1"/>
  <c r="L105" i="20"/>
  <c r="E100" i="33" s="1"/>
  <c r="L102" i="20"/>
  <c r="E97" i="33" s="1"/>
  <c r="L100" i="20"/>
  <c r="E95" i="33" s="1"/>
  <c r="L98" i="20"/>
  <c r="E93" i="33" s="1"/>
  <c r="L96" i="20"/>
  <c r="E91" i="33" s="1"/>
  <c r="L92" i="20"/>
  <c r="E87" i="33" s="1"/>
  <c r="L91" i="20"/>
  <c r="E86" i="33" s="1"/>
  <c r="L90" i="20"/>
  <c r="E85" i="33" s="1"/>
  <c r="L86" i="20"/>
  <c r="E81" i="33" s="1"/>
  <c r="L80" i="20"/>
  <c r="E75" i="33" s="1"/>
  <c r="L77" i="20"/>
  <c r="E72" i="33" s="1"/>
  <c r="L76" i="20"/>
  <c r="E71" i="33" s="1"/>
  <c r="L73" i="20"/>
  <c r="E68" i="33" s="1"/>
  <c r="L72" i="20"/>
  <c r="E67" i="33" s="1"/>
  <c r="L69" i="20"/>
  <c r="E64" i="33" s="1"/>
  <c r="L68" i="20"/>
  <c r="E63" i="33" s="1"/>
  <c r="L65" i="20"/>
  <c r="E60" i="33" s="1"/>
  <c r="L64" i="20"/>
  <c r="E59" i="33" s="1"/>
  <c r="L61" i="20"/>
  <c r="E56" i="33" s="1"/>
  <c r="L60" i="20"/>
  <c r="E55" i="33" s="1"/>
  <c r="L58" i="20"/>
  <c r="E53" i="33" s="1"/>
  <c r="L57" i="20"/>
  <c r="E52" i="33" s="1"/>
  <c r="L56" i="20"/>
  <c r="E51" i="33" s="1"/>
  <c r="L54" i="20"/>
  <c r="E49" i="33" s="1"/>
  <c r="L53" i="20"/>
  <c r="E48" i="33" s="1"/>
  <c r="L50" i="20"/>
  <c r="E45" i="33" s="1"/>
  <c r="L49" i="20"/>
  <c r="E44" i="33" s="1"/>
  <c r="L48" i="20"/>
  <c r="E43" i="33" s="1"/>
  <c r="L45" i="20"/>
  <c r="E40" i="33" s="1"/>
  <c r="L44" i="20"/>
  <c r="E39" i="33" s="1"/>
  <c r="L42" i="20"/>
  <c r="E37" i="33" s="1"/>
  <c r="L41" i="20"/>
  <c r="E36" i="33" s="1"/>
  <c r="L37" i="20"/>
  <c r="L36" i="20" s="1"/>
  <c r="E33" i="33" s="1"/>
  <c r="L34" i="20"/>
  <c r="E31" i="33" s="1"/>
  <c r="L28" i="20"/>
  <c r="L27" i="20"/>
  <c r="L23" i="20"/>
  <c r="E22" i="33" s="1"/>
  <c r="L19" i="20"/>
  <c r="L18" i="20"/>
  <c r="L15" i="20"/>
  <c r="E19" i="33" s="1"/>
  <c r="L12" i="20"/>
  <c r="L11" i="20"/>
  <c r="F144" i="1"/>
  <c r="D136" i="33" s="1"/>
  <c r="F141" i="1"/>
  <c r="D133" i="33" s="1"/>
  <c r="F140" i="1"/>
  <c r="D132" i="33" s="1"/>
  <c r="F87" i="1"/>
  <c r="D81" i="33" s="1"/>
  <c r="F88" i="1"/>
  <c r="D82" i="33" s="1"/>
  <c r="F89" i="1"/>
  <c r="D83" i="33" s="1"/>
  <c r="F90" i="1"/>
  <c r="D84" i="33" s="1"/>
  <c r="F91" i="1"/>
  <c r="D85" i="33" s="1"/>
  <c r="F92" i="1"/>
  <c r="D86" i="33" s="1"/>
  <c r="F93" i="1"/>
  <c r="D87" i="33" s="1"/>
  <c r="F94" i="1"/>
  <c r="D88" i="33" s="1"/>
  <c r="F95" i="1"/>
  <c r="D89" i="33" s="1"/>
  <c r="F96" i="1"/>
  <c r="D90" i="33" s="1"/>
  <c r="F97" i="1"/>
  <c r="D91" i="33" s="1"/>
  <c r="F98" i="1"/>
  <c r="D92" i="33" s="1"/>
  <c r="F99" i="1"/>
  <c r="D93" i="33" s="1"/>
  <c r="F100" i="1"/>
  <c r="D94" i="33" s="1"/>
  <c r="F101" i="1"/>
  <c r="D95" i="33" s="1"/>
  <c r="F102" i="1"/>
  <c r="D96" i="33" s="1"/>
  <c r="F103" i="1"/>
  <c r="D97" i="33" s="1"/>
  <c r="H97" i="33" s="1"/>
  <c r="F104" i="1"/>
  <c r="D98" i="33" s="1"/>
  <c r="F105" i="1"/>
  <c r="D99" i="33" s="1"/>
  <c r="F106" i="1"/>
  <c r="D100" i="33" s="1"/>
  <c r="F107" i="1"/>
  <c r="D101" i="33" s="1"/>
  <c r="F108" i="1"/>
  <c r="D102" i="33" s="1"/>
  <c r="F109" i="1"/>
  <c r="D103" i="33" s="1"/>
  <c r="F110" i="1"/>
  <c r="D104" i="33" s="1"/>
  <c r="F111" i="1"/>
  <c r="D105" i="33" s="1"/>
  <c r="F112" i="1"/>
  <c r="D106" i="33" s="1"/>
  <c r="F113" i="1"/>
  <c r="D107" i="33" s="1"/>
  <c r="F114" i="1"/>
  <c r="D108" i="33" s="1"/>
  <c r="F115" i="1"/>
  <c r="D109" i="33" s="1"/>
  <c r="F116" i="1"/>
  <c r="D110" i="33" s="1"/>
  <c r="F42" i="1"/>
  <c r="D36" i="33" s="1"/>
  <c r="F36" i="1"/>
  <c r="D32" i="33" s="1"/>
  <c r="H109" i="33" l="1"/>
  <c r="H96" i="33"/>
  <c r="H92" i="33"/>
  <c r="H84" i="33"/>
  <c r="H32" i="33"/>
  <c r="H100" i="33"/>
  <c r="H105" i="33"/>
  <c r="H104" i="33"/>
  <c r="H101" i="33"/>
  <c r="H93" i="33"/>
  <c r="H85" i="33"/>
  <c r="H81" i="33"/>
  <c r="H89" i="33"/>
  <c r="H36" i="33"/>
  <c r="H136" i="33"/>
  <c r="G117" i="11"/>
  <c r="G117" i="33"/>
  <c r="G121" i="11"/>
  <c r="G121" i="33"/>
  <c r="H113" i="33"/>
  <c r="G114" i="33"/>
  <c r="G114" i="11"/>
  <c r="G118" i="33"/>
  <c r="G118" i="11"/>
  <c r="G122" i="33"/>
  <c r="G122" i="11"/>
  <c r="H95" i="33"/>
  <c r="G115" i="33"/>
  <c r="G115" i="11"/>
  <c r="G119" i="33"/>
  <c r="G119" i="11"/>
  <c r="G123" i="33"/>
  <c r="G123" i="11"/>
  <c r="H103" i="33"/>
  <c r="H83" i="33"/>
  <c r="G116" i="11"/>
  <c r="G116" i="33"/>
  <c r="G120" i="11"/>
  <c r="G120" i="33"/>
  <c r="F119" i="11"/>
  <c r="F119" i="33"/>
  <c r="F123" i="33"/>
  <c r="F123" i="11"/>
  <c r="F117" i="11"/>
  <c r="F117" i="33"/>
  <c r="F121" i="33"/>
  <c r="F121" i="11"/>
  <c r="F115" i="33"/>
  <c r="F115" i="11"/>
  <c r="F116" i="11"/>
  <c r="F116" i="33"/>
  <c r="F120" i="11"/>
  <c r="F120" i="33"/>
  <c r="H110" i="33"/>
  <c r="H106" i="33"/>
  <c r="H98" i="33"/>
  <c r="H90" i="33"/>
  <c r="H86" i="33"/>
  <c r="H82" i="33"/>
  <c r="F26" i="33"/>
  <c r="E26" i="33"/>
  <c r="F114" i="33"/>
  <c r="F114" i="11"/>
  <c r="F118" i="33"/>
  <c r="F118" i="11"/>
  <c r="F122" i="33"/>
  <c r="F122" i="11"/>
  <c r="E120" i="11"/>
  <c r="E120" i="33"/>
  <c r="E122" i="33"/>
  <c r="E122" i="11"/>
  <c r="H107" i="33"/>
  <c r="H99" i="33"/>
  <c r="H91" i="33"/>
  <c r="H87" i="33"/>
  <c r="H133" i="33"/>
  <c r="E116" i="11"/>
  <c r="E116" i="33"/>
  <c r="E118" i="11"/>
  <c r="E118" i="33"/>
  <c r="H108" i="33"/>
  <c r="H88" i="33"/>
  <c r="H132" i="33"/>
  <c r="E115" i="11"/>
  <c r="E115" i="33"/>
  <c r="E121" i="11"/>
  <c r="E121" i="33"/>
  <c r="H102" i="33"/>
  <c r="H94" i="33"/>
  <c r="E119" i="11"/>
  <c r="E119" i="33"/>
  <c r="E117" i="11"/>
  <c r="E117" i="33"/>
  <c r="D189" i="22"/>
  <c r="F189" i="22" s="1"/>
  <c r="G182" i="33" s="1"/>
  <c r="D192" i="22"/>
  <c r="F192" i="22" s="1"/>
  <c r="D191" i="22"/>
  <c r="F191" i="22" s="1"/>
  <c r="G184" i="33" s="1"/>
  <c r="D188" i="22"/>
  <c r="F188" i="22" s="1"/>
  <c r="G181" i="33" s="1"/>
  <c r="D125" i="16"/>
  <c r="D190" i="22"/>
  <c r="F190" i="22" s="1"/>
  <c r="G183" i="33" s="1"/>
  <c r="D189" i="21"/>
  <c r="F189" i="21" s="1"/>
  <c r="F182" i="33" s="1"/>
  <c r="D192" i="21"/>
  <c r="F192" i="21" s="1"/>
  <c r="F185" i="33" s="1"/>
  <c r="D190" i="21"/>
  <c r="F190" i="21" s="1"/>
  <c r="F183" i="33" s="1"/>
  <c r="D188" i="21"/>
  <c r="F188" i="21" s="1"/>
  <c r="F181" i="33" s="1"/>
  <c r="D191" i="21"/>
  <c r="F191" i="21" s="1"/>
  <c r="F184" i="33" s="1"/>
  <c r="D109" i="11"/>
  <c r="D105" i="11"/>
  <c r="D101" i="11"/>
  <c r="D97" i="11"/>
  <c r="D93" i="11"/>
  <c r="D89" i="11"/>
  <c r="D85" i="11"/>
  <c r="D81" i="11"/>
  <c r="D108" i="11"/>
  <c r="D100" i="11"/>
  <c r="D92" i="11"/>
  <c r="D84" i="11"/>
  <c r="D107" i="11"/>
  <c r="D103" i="11"/>
  <c r="D99" i="11"/>
  <c r="D95" i="11"/>
  <c r="D91" i="11"/>
  <c r="D87" i="11"/>
  <c r="D83" i="11"/>
  <c r="D104" i="11"/>
  <c r="D96" i="11"/>
  <c r="D88" i="11"/>
  <c r="D110" i="11"/>
  <c r="D106" i="11"/>
  <c r="D102" i="11"/>
  <c r="D98" i="11"/>
  <c r="D94" i="11"/>
  <c r="D90" i="11"/>
  <c r="D86" i="11"/>
  <c r="D82" i="11"/>
  <c r="F10" i="21"/>
  <c r="F16" i="33" s="1"/>
  <c r="G14" i="11"/>
  <c r="L179" i="20"/>
  <c r="E174" i="33" s="1"/>
  <c r="H174" i="33" s="1"/>
  <c r="G13" i="11"/>
  <c r="D13" i="16"/>
  <c r="D133" i="11"/>
  <c r="E31" i="11"/>
  <c r="E37" i="11"/>
  <c r="E44" i="11"/>
  <c r="E51" i="11"/>
  <c r="E56" i="11"/>
  <c r="E64" i="11"/>
  <c r="E72" i="11"/>
  <c r="E86" i="11"/>
  <c r="E95" i="11"/>
  <c r="E106" i="11"/>
  <c r="E127" i="11"/>
  <c r="E139" i="11"/>
  <c r="E148" i="11"/>
  <c r="E159" i="11"/>
  <c r="E175" i="11"/>
  <c r="E13" i="11"/>
  <c r="E169" i="11"/>
  <c r="E162" i="11"/>
  <c r="E157" i="11"/>
  <c r="E150" i="11"/>
  <c r="E144" i="11"/>
  <c r="E137" i="11"/>
  <c r="E113" i="11"/>
  <c r="E105" i="11"/>
  <c r="E99" i="11"/>
  <c r="E94" i="11"/>
  <c r="E88" i="11"/>
  <c r="E78" i="11"/>
  <c r="E69" i="11"/>
  <c r="E61" i="11"/>
  <c r="E50" i="11"/>
  <c r="E41" i="11"/>
  <c r="F19" i="11"/>
  <c r="F31" i="11"/>
  <c r="F36" i="11"/>
  <c r="F40" i="11"/>
  <c r="F44" i="11"/>
  <c r="F48" i="11"/>
  <c r="F52" i="11"/>
  <c r="F56" i="11"/>
  <c r="F60" i="11"/>
  <c r="F64" i="11"/>
  <c r="F68" i="11"/>
  <c r="F72" i="11"/>
  <c r="F78" i="11"/>
  <c r="F84" i="11"/>
  <c r="F88" i="11"/>
  <c r="F92" i="11"/>
  <c r="F96" i="11"/>
  <c r="F99" i="11"/>
  <c r="F103" i="11"/>
  <c r="F107" i="11"/>
  <c r="F110" i="11"/>
  <c r="F126" i="11"/>
  <c r="F132" i="11"/>
  <c r="F138" i="11"/>
  <c r="F142" i="11"/>
  <c r="F146" i="11"/>
  <c r="F150" i="11"/>
  <c r="F154" i="11"/>
  <c r="F158" i="11"/>
  <c r="F162" i="11"/>
  <c r="F166" i="11"/>
  <c r="F173" i="11"/>
  <c r="F178" i="11"/>
  <c r="G31" i="11"/>
  <c r="G36" i="11"/>
  <c r="G40" i="11"/>
  <c r="G44" i="11"/>
  <c r="G48" i="11"/>
  <c r="G52" i="11"/>
  <c r="G56" i="11"/>
  <c r="G60" i="11"/>
  <c r="G64" i="11"/>
  <c r="G68" i="11"/>
  <c r="G72" i="11"/>
  <c r="G78" i="11"/>
  <c r="G84" i="11"/>
  <c r="G88" i="11"/>
  <c r="G92" i="11"/>
  <c r="G96" i="11"/>
  <c r="G99" i="11"/>
  <c r="G103" i="11"/>
  <c r="G107" i="11"/>
  <c r="G110" i="11"/>
  <c r="G126" i="11"/>
  <c r="G132" i="11"/>
  <c r="G138" i="11"/>
  <c r="G142" i="11"/>
  <c r="G146" i="11"/>
  <c r="G150" i="11"/>
  <c r="G154" i="11"/>
  <c r="G158" i="11"/>
  <c r="G162" i="11"/>
  <c r="G166" i="11"/>
  <c r="G173" i="11"/>
  <c r="G177" i="11"/>
  <c r="D32" i="11"/>
  <c r="D136" i="11"/>
  <c r="E22" i="11"/>
  <c r="E39" i="11"/>
  <c r="E45" i="11"/>
  <c r="E52" i="11"/>
  <c r="E59" i="11"/>
  <c r="E67" i="11"/>
  <c r="E75" i="11"/>
  <c r="E87" i="11"/>
  <c r="E97" i="11"/>
  <c r="E108" i="11"/>
  <c r="E128" i="11"/>
  <c r="E140" i="11"/>
  <c r="E151" i="11"/>
  <c r="E163" i="11"/>
  <c r="E176" i="11"/>
  <c r="E178" i="11"/>
  <c r="E168" i="11"/>
  <c r="E161" i="11"/>
  <c r="E154" i="11"/>
  <c r="E149" i="11"/>
  <c r="E142" i="11"/>
  <c r="E136" i="11"/>
  <c r="E110" i="11"/>
  <c r="E104" i="11"/>
  <c r="E98" i="11"/>
  <c r="E92" i="11"/>
  <c r="E84" i="11"/>
  <c r="E74" i="11"/>
  <c r="E66" i="11"/>
  <c r="E58" i="11"/>
  <c r="E47" i="11"/>
  <c r="E38" i="11"/>
  <c r="F32" i="11"/>
  <c r="F37" i="11"/>
  <c r="F41" i="11"/>
  <c r="F45" i="11"/>
  <c r="F49" i="11"/>
  <c r="F53" i="11"/>
  <c r="F57" i="11"/>
  <c r="F61" i="11"/>
  <c r="F65" i="11"/>
  <c r="F69" i="11"/>
  <c r="F73" i="11"/>
  <c r="F81" i="11"/>
  <c r="F85" i="11"/>
  <c r="F89" i="11"/>
  <c r="F93" i="11"/>
  <c r="F97" i="11"/>
  <c r="F100" i="11"/>
  <c r="F104" i="11"/>
  <c r="F108" i="11"/>
  <c r="F113" i="11"/>
  <c r="F127" i="11"/>
  <c r="F133" i="11"/>
  <c r="F139" i="11"/>
  <c r="F143" i="11"/>
  <c r="F147" i="11"/>
  <c r="F151" i="11"/>
  <c r="F155" i="11"/>
  <c r="F159" i="11"/>
  <c r="F163" i="11"/>
  <c r="F167" i="11"/>
  <c r="F175" i="11"/>
  <c r="F179" i="11"/>
  <c r="G19" i="11"/>
  <c r="G32" i="11"/>
  <c r="G37" i="11"/>
  <c r="G41" i="11"/>
  <c r="G45" i="11"/>
  <c r="G49" i="11"/>
  <c r="G53" i="11"/>
  <c r="G57" i="11"/>
  <c r="G61" i="11"/>
  <c r="G65" i="11"/>
  <c r="G69" i="11"/>
  <c r="G73" i="11"/>
  <c r="G81" i="11"/>
  <c r="G85" i="11"/>
  <c r="G89" i="11"/>
  <c r="G93" i="11"/>
  <c r="G97" i="11"/>
  <c r="G100" i="11"/>
  <c r="G104" i="11"/>
  <c r="G108" i="11"/>
  <c r="G113" i="11"/>
  <c r="G127" i="11"/>
  <c r="G133" i="11"/>
  <c r="G139" i="11"/>
  <c r="G143" i="11"/>
  <c r="G147" i="11"/>
  <c r="G151" i="11"/>
  <c r="G155" i="11"/>
  <c r="G159" i="11"/>
  <c r="G163" i="11"/>
  <c r="G167" i="11"/>
  <c r="G174" i="11"/>
  <c r="G178" i="11"/>
  <c r="E14" i="11"/>
  <c r="E19" i="11"/>
  <c r="E40" i="11"/>
  <c r="E48" i="11"/>
  <c r="E53" i="11"/>
  <c r="E60" i="11"/>
  <c r="E68" i="11"/>
  <c r="E81" i="11"/>
  <c r="E91" i="11"/>
  <c r="E100" i="11"/>
  <c r="E132" i="11"/>
  <c r="E143" i="11"/>
  <c r="E155" i="11"/>
  <c r="E164" i="11"/>
  <c r="E179" i="11"/>
  <c r="E177" i="11"/>
  <c r="E166" i="11"/>
  <c r="E160" i="11"/>
  <c r="E153" i="11"/>
  <c r="E146" i="11"/>
  <c r="E141" i="11"/>
  <c r="E129" i="11"/>
  <c r="E109" i="11"/>
  <c r="E103" i="11"/>
  <c r="E90" i="11"/>
  <c r="E83" i="11"/>
  <c r="E73" i="11"/>
  <c r="E65" i="11"/>
  <c r="E57" i="11"/>
  <c r="E46" i="11"/>
  <c r="E32" i="11"/>
  <c r="F13" i="11"/>
  <c r="F22" i="11"/>
  <c r="F38" i="11"/>
  <c r="F42" i="11"/>
  <c r="F46" i="11"/>
  <c r="F50" i="11"/>
  <c r="F54" i="11"/>
  <c r="F58" i="11"/>
  <c r="F62" i="11"/>
  <c r="F66" i="11"/>
  <c r="F70" i="11"/>
  <c r="F74" i="11"/>
  <c r="F82" i="11"/>
  <c r="F86" i="11"/>
  <c r="F90" i="11"/>
  <c r="F94" i="11"/>
  <c r="F101" i="11"/>
  <c r="F105" i="11"/>
  <c r="F109" i="11"/>
  <c r="F128" i="11"/>
  <c r="F136" i="11"/>
  <c r="F140" i="11"/>
  <c r="F144" i="11"/>
  <c r="F148" i="11"/>
  <c r="F152" i="11"/>
  <c r="F156" i="11"/>
  <c r="F160" i="11"/>
  <c r="F164" i="11"/>
  <c r="F168" i="11"/>
  <c r="F176" i="11"/>
  <c r="F174" i="11"/>
  <c r="G26" i="11"/>
  <c r="G38" i="11"/>
  <c r="G42" i="11"/>
  <c r="G46" i="11"/>
  <c r="G50" i="11"/>
  <c r="G54" i="11"/>
  <c r="G58" i="11"/>
  <c r="G62" i="11"/>
  <c r="G66" i="11"/>
  <c r="G70" i="11"/>
  <c r="G74" i="11"/>
  <c r="G82" i="11"/>
  <c r="G86" i="11"/>
  <c r="G90" i="11"/>
  <c r="G94" i="11"/>
  <c r="G101" i="11"/>
  <c r="G105" i="11"/>
  <c r="G109" i="11"/>
  <c r="G128" i="11"/>
  <c r="G136" i="11"/>
  <c r="G140" i="11"/>
  <c r="G144" i="11"/>
  <c r="G148" i="11"/>
  <c r="G152" i="11"/>
  <c r="G156" i="11"/>
  <c r="G160" i="11"/>
  <c r="G164" i="11"/>
  <c r="G168" i="11"/>
  <c r="G175" i="11"/>
  <c r="G179" i="11"/>
  <c r="D132" i="11"/>
  <c r="E36" i="11"/>
  <c r="E43" i="11"/>
  <c r="E49" i="11"/>
  <c r="E55" i="11"/>
  <c r="E63" i="11"/>
  <c r="E71" i="11"/>
  <c r="E85" i="11"/>
  <c r="E93" i="11"/>
  <c r="E101" i="11"/>
  <c r="E133" i="11"/>
  <c r="E147" i="11"/>
  <c r="E156" i="11"/>
  <c r="E167" i="11"/>
  <c r="E173" i="11"/>
  <c r="E165" i="11"/>
  <c r="E158" i="11"/>
  <c r="E152" i="11"/>
  <c r="E145" i="11"/>
  <c r="E138" i="11"/>
  <c r="E126" i="11"/>
  <c r="E114" i="11"/>
  <c r="E107" i="11"/>
  <c r="E102" i="11"/>
  <c r="E96" i="11"/>
  <c r="E89" i="11"/>
  <c r="E82" i="11"/>
  <c r="E70" i="11"/>
  <c r="E62" i="11"/>
  <c r="E54" i="11"/>
  <c r="E42" i="11"/>
  <c r="F14" i="11"/>
  <c r="F39" i="11"/>
  <c r="F43" i="11"/>
  <c r="F47" i="11"/>
  <c r="F51" i="11"/>
  <c r="F55" i="11"/>
  <c r="F59" i="11"/>
  <c r="F63" i="11"/>
  <c r="F67" i="11"/>
  <c r="F71" i="11"/>
  <c r="F75" i="11"/>
  <c r="F83" i="11"/>
  <c r="F87" i="11"/>
  <c r="F91" i="11"/>
  <c r="F95" i="11"/>
  <c r="F98" i="11"/>
  <c r="F102" i="11"/>
  <c r="F106" i="11"/>
  <c r="F129" i="11"/>
  <c r="F137" i="11"/>
  <c r="F141" i="11"/>
  <c r="F145" i="11"/>
  <c r="F149" i="11"/>
  <c r="F153" i="11"/>
  <c r="F157" i="11"/>
  <c r="F161" i="11"/>
  <c r="F165" i="11"/>
  <c r="F169" i="11"/>
  <c r="F177" i="11"/>
  <c r="F185" i="11"/>
  <c r="G22" i="11"/>
  <c r="G30" i="11"/>
  <c r="G39" i="11"/>
  <c r="G43" i="11"/>
  <c r="G47" i="11"/>
  <c r="G51" i="11"/>
  <c r="G55" i="11"/>
  <c r="G59" i="11"/>
  <c r="G63" i="11"/>
  <c r="G67" i="11"/>
  <c r="G71" i="11"/>
  <c r="G75" i="11"/>
  <c r="G83" i="11"/>
  <c r="G87" i="11"/>
  <c r="G91" i="11"/>
  <c r="G95" i="11"/>
  <c r="G98" i="11"/>
  <c r="G102" i="11"/>
  <c r="G106" i="11"/>
  <c r="G129" i="11"/>
  <c r="G137" i="11"/>
  <c r="G141" i="11"/>
  <c r="G145" i="11"/>
  <c r="G149" i="11"/>
  <c r="G153" i="11"/>
  <c r="G157" i="11"/>
  <c r="G161" i="11"/>
  <c r="G165" i="11"/>
  <c r="G169" i="11"/>
  <c r="G176" i="11"/>
  <c r="G184" i="11"/>
  <c r="F26" i="11"/>
  <c r="E26" i="11"/>
  <c r="L16" i="20"/>
  <c r="E20" i="33" s="1"/>
  <c r="L188" i="20"/>
  <c r="E183" i="33" s="1"/>
  <c r="L189" i="20"/>
  <c r="E184" i="33" s="1"/>
  <c r="F10" i="22"/>
  <c r="G16" i="33" s="1"/>
  <c r="F20" i="22"/>
  <c r="G21" i="33" s="1"/>
  <c r="F16" i="22"/>
  <c r="G20" i="33" s="1"/>
  <c r="L128" i="20"/>
  <c r="L187" i="20"/>
  <c r="E182" i="33" s="1"/>
  <c r="L26" i="20"/>
  <c r="E25" i="33" s="1"/>
  <c r="D94" i="16"/>
  <c r="D104" i="16"/>
  <c r="F104" i="16" s="1"/>
  <c r="D108" i="16"/>
  <c r="H108" i="16" s="1"/>
  <c r="D98" i="16"/>
  <c r="H98" i="16" s="1"/>
  <c r="D116" i="16"/>
  <c r="D97" i="16"/>
  <c r="D101" i="16"/>
  <c r="H101" i="16" s="1"/>
  <c r="D36" i="11"/>
  <c r="D48" i="16"/>
  <c r="D120" i="16"/>
  <c r="H120" i="16" s="1"/>
  <c r="D112" i="16"/>
  <c r="D109" i="16"/>
  <c r="D105" i="16"/>
  <c r="H105" i="16" s="1"/>
  <c r="D93" i="16"/>
  <c r="H93" i="16" s="1"/>
  <c r="D100" i="16"/>
  <c r="H100" i="16" s="1"/>
  <c r="D122" i="16"/>
  <c r="D119" i="16"/>
  <c r="D115" i="16"/>
  <c r="D111" i="16"/>
  <c r="D107" i="16"/>
  <c r="F107" i="16" s="1"/>
  <c r="D103" i="16"/>
  <c r="D145" i="16"/>
  <c r="D118" i="16"/>
  <c r="D114" i="16"/>
  <c r="H114" i="16" s="1"/>
  <c r="D110" i="16"/>
  <c r="D106" i="16"/>
  <c r="D102" i="16"/>
  <c r="D96" i="16"/>
  <c r="D148" i="16"/>
  <c r="D144" i="16"/>
  <c r="D121" i="16"/>
  <c r="D117" i="16"/>
  <c r="H117" i="16" s="1"/>
  <c r="D113" i="16"/>
  <c r="D99" i="16"/>
  <c r="D95" i="16"/>
  <c r="D42" i="16"/>
  <c r="H42" i="16" s="1"/>
  <c r="E13" i="16"/>
  <c r="I13" i="16"/>
  <c r="F13" i="16"/>
  <c r="H13" i="16"/>
  <c r="H147" i="16"/>
  <c r="H143" i="16"/>
  <c r="H142" i="16"/>
  <c r="F26" i="22"/>
  <c r="G25" i="33" s="1"/>
  <c r="F36" i="22"/>
  <c r="G33" i="33" s="1"/>
  <c r="F36" i="21"/>
  <c r="F33" i="33" s="1"/>
  <c r="L20" i="20"/>
  <c r="E21" i="33" s="1"/>
  <c r="L190" i="20"/>
  <c r="E185" i="33" s="1"/>
  <c r="F20" i="21"/>
  <c r="F21" i="33" s="1"/>
  <c r="F26" i="21"/>
  <c r="F25" i="33" s="1"/>
  <c r="F16" i="21"/>
  <c r="F20" i="33" s="1"/>
  <c r="L10" i="20"/>
  <c r="E16" i="33" s="1"/>
  <c r="G182" i="11" l="1"/>
  <c r="G183" i="11"/>
  <c r="F182" i="11"/>
  <c r="F184" i="11"/>
  <c r="G185" i="11"/>
  <c r="G185" i="33"/>
  <c r="F183" i="11"/>
  <c r="E123" i="11"/>
  <c r="E123" i="33"/>
  <c r="G181" i="11"/>
  <c r="F181" i="11"/>
  <c r="E174" i="11"/>
  <c r="J13" i="16"/>
  <c r="K13" i="16" s="1"/>
  <c r="G15" i="11"/>
  <c r="F108" i="16"/>
  <c r="H89" i="11"/>
  <c r="G89" i="24" s="1"/>
  <c r="D89" i="32" s="1"/>
  <c r="H84" i="11"/>
  <c r="G84" i="24" s="1"/>
  <c r="D84" i="32" s="1"/>
  <c r="H97" i="11"/>
  <c r="G97" i="24" s="1"/>
  <c r="D97" i="32" s="1"/>
  <c r="H133" i="11"/>
  <c r="G133" i="24" s="1"/>
  <c r="D133" i="32" s="1"/>
  <c r="H101" i="11"/>
  <c r="G101" i="24" s="1"/>
  <c r="D101" i="32" s="1"/>
  <c r="H105" i="11"/>
  <c r="G105" i="24" s="1"/>
  <c r="D105" i="32" s="1"/>
  <c r="H136" i="11"/>
  <c r="G136" i="24" s="1"/>
  <c r="D136" i="32" s="1"/>
  <c r="H86" i="11"/>
  <c r="G86" i="24" s="1"/>
  <c r="D86" i="32" s="1"/>
  <c r="H91" i="11"/>
  <c r="G91" i="24" s="1"/>
  <c r="D91" i="32" s="1"/>
  <c r="H81" i="11"/>
  <c r="G81" i="24" s="1"/>
  <c r="D81" i="32" s="1"/>
  <c r="H87" i="11"/>
  <c r="G87" i="24" s="1"/>
  <c r="D87" i="32" s="1"/>
  <c r="H94" i="11"/>
  <c r="G94" i="24" s="1"/>
  <c r="H109" i="11"/>
  <c r="G109" i="24" s="1"/>
  <c r="D109" i="32" s="1"/>
  <c r="H110" i="11"/>
  <c r="G110" i="24" s="1"/>
  <c r="D110" i="32" s="1"/>
  <c r="H96" i="11"/>
  <c r="G96" i="24" s="1"/>
  <c r="D96" i="32" s="1"/>
  <c r="H88" i="11"/>
  <c r="G88" i="24" s="1"/>
  <c r="D88" i="32" s="1"/>
  <c r="H95" i="11"/>
  <c r="G95" i="24" s="1"/>
  <c r="H83" i="11"/>
  <c r="G83" i="24" s="1"/>
  <c r="D83" i="32" s="1"/>
  <c r="H98" i="11"/>
  <c r="G98" i="24" s="1"/>
  <c r="D98" i="32" s="1"/>
  <c r="H106" i="11"/>
  <c r="G106" i="24" s="1"/>
  <c r="D106" i="32" s="1"/>
  <c r="H93" i="11"/>
  <c r="G93" i="24" s="1"/>
  <c r="D93" i="32" s="1"/>
  <c r="H100" i="11"/>
  <c r="G100" i="24" s="1"/>
  <c r="D100" i="32" s="1"/>
  <c r="H36" i="11"/>
  <c r="H102" i="11"/>
  <c r="G102" i="24" s="1"/>
  <c r="D102" i="32" s="1"/>
  <c r="H92" i="11"/>
  <c r="G92" i="24" s="1"/>
  <c r="D92" i="32" s="1"/>
  <c r="H99" i="11"/>
  <c r="G99" i="24" s="1"/>
  <c r="D99" i="32" s="1"/>
  <c r="H107" i="11"/>
  <c r="G107" i="24" s="1"/>
  <c r="D107" i="32" s="1"/>
  <c r="H82" i="11"/>
  <c r="G82" i="24" s="1"/>
  <c r="D82" i="32" s="1"/>
  <c r="H32" i="11"/>
  <c r="H90" i="11"/>
  <c r="G90" i="24" s="1"/>
  <c r="D90" i="32" s="1"/>
  <c r="H103" i="11"/>
  <c r="G103" i="24" s="1"/>
  <c r="D103" i="32" s="1"/>
  <c r="H132" i="11"/>
  <c r="G132" i="24" s="1"/>
  <c r="D132" i="32" s="1"/>
  <c r="E15" i="11"/>
  <c r="K83" i="11"/>
  <c r="M103" i="11"/>
  <c r="J92" i="11"/>
  <c r="F16" i="11"/>
  <c r="J109" i="11"/>
  <c r="L88" i="11"/>
  <c r="E30" i="11"/>
  <c r="E16" i="11"/>
  <c r="F20" i="11"/>
  <c r="E185" i="11"/>
  <c r="G33" i="11"/>
  <c r="I101" i="11"/>
  <c r="J95" i="11"/>
  <c r="K110" i="11"/>
  <c r="H108" i="11"/>
  <c r="G108" i="24" s="1"/>
  <c r="D108" i="32" s="1"/>
  <c r="I85" i="11"/>
  <c r="L86" i="11"/>
  <c r="E25" i="11"/>
  <c r="E181" i="11"/>
  <c r="G21" i="11"/>
  <c r="E183" i="11"/>
  <c r="F25" i="11"/>
  <c r="K104" i="11"/>
  <c r="E33" i="11"/>
  <c r="F30" i="11"/>
  <c r="F21" i="11"/>
  <c r="F33" i="11"/>
  <c r="L32" i="11"/>
  <c r="J87" i="11"/>
  <c r="K132" i="11"/>
  <c r="I84" i="11"/>
  <c r="L102" i="11"/>
  <c r="I91" i="11"/>
  <c r="L81" i="11"/>
  <c r="I97" i="11"/>
  <c r="L108" i="11"/>
  <c r="L89" i="11"/>
  <c r="H104" i="11"/>
  <c r="G104" i="24" s="1"/>
  <c r="D104" i="32" s="1"/>
  <c r="K82" i="11"/>
  <c r="E182" i="11"/>
  <c r="G20" i="11"/>
  <c r="E184" i="11"/>
  <c r="F15" i="11"/>
  <c r="E21" i="11"/>
  <c r="G25" i="11"/>
  <c r="L105" i="11"/>
  <c r="I99" i="11"/>
  <c r="L93" i="11"/>
  <c r="I100" i="11"/>
  <c r="J36" i="11"/>
  <c r="H85" i="11"/>
  <c r="G85" i="24" s="1"/>
  <c r="D85" i="32" s="1"/>
  <c r="L96" i="11"/>
  <c r="G16" i="11"/>
  <c r="E20" i="11"/>
  <c r="H109" i="16"/>
  <c r="H99" i="16"/>
  <c r="H116" i="16"/>
  <c r="F100" i="16"/>
  <c r="H113" i="16"/>
  <c r="H94" i="16"/>
  <c r="H95" i="16"/>
  <c r="F109" i="16"/>
  <c r="H104" i="16"/>
  <c r="F93" i="16"/>
  <c r="F101" i="16"/>
  <c r="H144" i="16"/>
  <c r="F117" i="16"/>
  <c r="E144" i="16"/>
  <c r="F105" i="16"/>
  <c r="F94" i="16"/>
  <c r="H107" i="16"/>
  <c r="H97" i="16"/>
  <c r="H112" i="16"/>
  <c r="F98" i="16"/>
  <c r="F95" i="16"/>
  <c r="H121" i="16"/>
  <c r="H106" i="16"/>
  <c r="F106" i="16"/>
  <c r="H111" i="16"/>
  <c r="H110" i="16"/>
  <c r="E145" i="16"/>
  <c r="H145" i="16"/>
  <c r="H115" i="16"/>
  <c r="H48" i="16"/>
  <c r="H148" i="16"/>
  <c r="F96" i="16"/>
  <c r="H96" i="16"/>
  <c r="H103" i="16"/>
  <c r="H119" i="16"/>
  <c r="F102" i="16"/>
  <c r="H102" i="16"/>
  <c r="H118" i="16"/>
  <c r="H122" i="16"/>
  <c r="J182" i="16"/>
  <c r="K182" i="16" s="1"/>
  <c r="I107" i="11"/>
  <c r="J133" i="11"/>
  <c r="E42" i="16"/>
  <c r="I98" i="11"/>
  <c r="I106" i="11"/>
  <c r="J143" i="16"/>
  <c r="K143" i="16" s="1"/>
  <c r="J184" i="16"/>
  <c r="K184" i="16" s="1"/>
  <c r="K136" i="11"/>
  <c r="D30" i="11"/>
  <c r="D40" i="16"/>
  <c r="J146" i="16"/>
  <c r="K146" i="16" s="1"/>
  <c r="J142" i="16"/>
  <c r="K142" i="16" s="1"/>
  <c r="J183" i="16"/>
  <c r="K183" i="16" s="1"/>
  <c r="J147" i="16"/>
  <c r="K147" i="16" s="1"/>
  <c r="E132" i="32" l="1"/>
  <c r="H132" i="32"/>
  <c r="L132" i="33" s="1"/>
  <c r="H136" i="32"/>
  <c r="F90" i="32"/>
  <c r="H90" i="32"/>
  <c r="L90" i="33" s="1"/>
  <c r="H99" i="32"/>
  <c r="H100" i="32"/>
  <c r="J100" i="32" s="1"/>
  <c r="N100" i="33" s="1"/>
  <c r="O100" i="33" s="1"/>
  <c r="P100" i="33" s="1"/>
  <c r="F83" i="32"/>
  <c r="H83" i="32"/>
  <c r="L83" i="33" s="1"/>
  <c r="F81" i="32"/>
  <c r="H81" i="32"/>
  <c r="L81" i="33" s="1"/>
  <c r="H84" i="32"/>
  <c r="L84" i="33" s="1"/>
  <c r="F84" i="32"/>
  <c r="H92" i="32"/>
  <c r="L92" i="33" s="1"/>
  <c r="F92" i="32"/>
  <c r="D95" i="32"/>
  <c r="H95" i="24"/>
  <c r="I95" i="24" s="1"/>
  <c r="H91" i="32"/>
  <c r="J91" i="32" s="1"/>
  <c r="N91" i="33" s="1"/>
  <c r="O91" i="33" s="1"/>
  <c r="P91" i="33" s="1"/>
  <c r="H101" i="32"/>
  <c r="H89" i="32"/>
  <c r="L89" i="33" s="1"/>
  <c r="F89" i="32"/>
  <c r="H85" i="32"/>
  <c r="J85" i="32" s="1"/>
  <c r="N85" i="33" s="1"/>
  <c r="O85" i="33" s="1"/>
  <c r="P85" i="33" s="1"/>
  <c r="H102" i="32"/>
  <c r="J102" i="32" s="1"/>
  <c r="N102" i="33" s="1"/>
  <c r="O102" i="33" s="1"/>
  <c r="P102" i="33" s="1"/>
  <c r="F88" i="32"/>
  <c r="H88" i="32"/>
  <c r="L88" i="33" s="1"/>
  <c r="D94" i="32"/>
  <c r="H94" i="24"/>
  <c r="I94" i="24" s="1"/>
  <c r="F86" i="32"/>
  <c r="H86" i="32"/>
  <c r="L86" i="33" s="1"/>
  <c r="H98" i="32"/>
  <c r="J98" i="32" s="1"/>
  <c r="N98" i="33" s="1"/>
  <c r="O98" i="33" s="1"/>
  <c r="P98" i="33" s="1"/>
  <c r="F96" i="32"/>
  <c r="H96" i="32"/>
  <c r="L96" i="33" s="1"/>
  <c r="H87" i="32"/>
  <c r="J87" i="32" s="1"/>
  <c r="N87" i="33" s="1"/>
  <c r="O87" i="33" s="1"/>
  <c r="P87" i="33" s="1"/>
  <c r="H97" i="32"/>
  <c r="L97" i="33" s="1"/>
  <c r="F97" i="32"/>
  <c r="H133" i="32"/>
  <c r="L133" i="33" s="1"/>
  <c r="E133" i="32"/>
  <c r="H110" i="32"/>
  <c r="J110" i="32" s="1"/>
  <c r="N110" i="33" s="1"/>
  <c r="O110" i="33" s="1"/>
  <c r="P110" i="33" s="1"/>
  <c r="H109" i="32"/>
  <c r="H108" i="32"/>
  <c r="J108" i="32" s="1"/>
  <c r="N108" i="33" s="1"/>
  <c r="O108" i="33" s="1"/>
  <c r="P108" i="33" s="1"/>
  <c r="H107" i="32"/>
  <c r="J107" i="32" s="1"/>
  <c r="N107" i="33" s="1"/>
  <c r="O107" i="33" s="1"/>
  <c r="P107" i="33" s="1"/>
  <c r="H106" i="32"/>
  <c r="F105" i="32"/>
  <c r="H105" i="32"/>
  <c r="L105" i="33" s="1"/>
  <c r="H104" i="32"/>
  <c r="J104" i="32" s="1"/>
  <c r="N104" i="33" s="1"/>
  <c r="O104" i="33" s="1"/>
  <c r="P104" i="33" s="1"/>
  <c r="H103" i="32"/>
  <c r="J103" i="32" s="1"/>
  <c r="N103" i="33" s="1"/>
  <c r="O103" i="33" s="1"/>
  <c r="P103" i="33" s="1"/>
  <c r="F93" i="32"/>
  <c r="H93" i="32"/>
  <c r="L93" i="33" s="1"/>
  <c r="H82" i="32"/>
  <c r="L82" i="33" s="1"/>
  <c r="F82" i="32"/>
  <c r="E40" i="16"/>
  <c r="G40" i="16"/>
  <c r="G30" i="32" s="1"/>
  <c r="K30" i="33" s="1"/>
  <c r="F8" i="1"/>
  <c r="G36" i="24"/>
  <c r="D36" i="32" s="1"/>
  <c r="G32" i="24"/>
  <c r="D32" i="32" s="1"/>
  <c r="J96" i="11"/>
  <c r="K32" i="11"/>
  <c r="J110" i="11"/>
  <c r="K95" i="11"/>
  <c r="M106" i="11"/>
  <c r="J90" i="11"/>
  <c r="L107" i="11"/>
  <c r="M91" i="11"/>
  <c r="K102" i="11"/>
  <c r="J84" i="11"/>
  <c r="M101" i="11"/>
  <c r="I103" i="11"/>
  <c r="L133" i="11"/>
  <c r="M98" i="11"/>
  <c r="M132" i="11"/>
  <c r="K99" i="11"/>
  <c r="I109" i="11"/>
  <c r="I83" i="11"/>
  <c r="M83" i="11"/>
  <c r="M85" i="11"/>
  <c r="J85" i="11"/>
  <c r="J100" i="11"/>
  <c r="M99" i="11"/>
  <c r="M110" i="11"/>
  <c r="K87" i="11"/>
  <c r="I132" i="11"/>
  <c r="M88" i="11"/>
  <c r="M89" i="11"/>
  <c r="M84" i="11"/>
  <c r="M92" i="11"/>
  <c r="I36" i="11"/>
  <c r="K81" i="11"/>
  <c r="I108" i="11"/>
  <c r="J102" i="11"/>
  <c r="M107" i="11"/>
  <c r="M32" i="11"/>
  <c r="I110" i="11"/>
  <c r="M95" i="11"/>
  <c r="L106" i="11"/>
  <c r="M90" i="11"/>
  <c r="K107" i="11"/>
  <c r="J91" i="11"/>
  <c r="I102" i="11"/>
  <c r="M136" i="11"/>
  <c r="J103" i="11"/>
  <c r="I133" i="11"/>
  <c r="J98" i="11"/>
  <c r="M87" i="11"/>
  <c r="J99" i="11"/>
  <c r="K94" i="11"/>
  <c r="L94" i="11"/>
  <c r="J83" i="11"/>
  <c r="L100" i="11"/>
  <c r="L85" i="11"/>
  <c r="K85" i="11"/>
  <c r="M86" i="11"/>
  <c r="L95" i="11"/>
  <c r="I136" i="11"/>
  <c r="I88" i="11"/>
  <c r="I89" i="11"/>
  <c r="I81" i="11"/>
  <c r="I92" i="11"/>
  <c r="I104" i="11"/>
  <c r="L83" i="11"/>
  <c r="M82" i="11"/>
  <c r="K96" i="11"/>
  <c r="L104" i="11"/>
  <c r="L87" i="11"/>
  <c r="L97" i="11"/>
  <c r="L110" i="11"/>
  <c r="K106" i="11"/>
  <c r="L90" i="11"/>
  <c r="J107" i="11"/>
  <c r="L91" i="11"/>
  <c r="L84" i="11"/>
  <c r="L136" i="11"/>
  <c r="M36" i="11"/>
  <c r="L103" i="11"/>
  <c r="K133" i="11"/>
  <c r="L98" i="11"/>
  <c r="I87" i="11"/>
  <c r="J94" i="11"/>
  <c r="K36" i="11"/>
  <c r="J86" i="11"/>
  <c r="M100" i="11"/>
  <c r="K103" i="11"/>
  <c r="I96" i="11"/>
  <c r="J104" i="11"/>
  <c r="I105" i="11"/>
  <c r="M105" i="11"/>
  <c r="J93" i="11"/>
  <c r="J105" i="11"/>
  <c r="I82" i="11"/>
  <c r="K92" i="11"/>
  <c r="K97" i="11"/>
  <c r="K100" i="11"/>
  <c r="K101" i="11"/>
  <c r="M81" i="11"/>
  <c r="M108" i="11"/>
  <c r="J108" i="11"/>
  <c r="M97" i="11"/>
  <c r="H30" i="11"/>
  <c r="I32" i="11"/>
  <c r="I95" i="11"/>
  <c r="J106" i="11"/>
  <c r="K90" i="11"/>
  <c r="K91" i="11"/>
  <c r="M102" i="11"/>
  <c r="K84" i="11"/>
  <c r="J136" i="11"/>
  <c r="M133" i="11"/>
  <c r="K98" i="11"/>
  <c r="L99" i="11"/>
  <c r="M94" i="11"/>
  <c r="M109" i="11"/>
  <c r="I86" i="11"/>
  <c r="I93" i="11"/>
  <c r="K109" i="11"/>
  <c r="M93" i="11"/>
  <c r="K86" i="11"/>
  <c r="M96" i="11"/>
  <c r="K105" i="11"/>
  <c r="J82" i="11"/>
  <c r="K93" i="11"/>
  <c r="L132" i="11"/>
  <c r="K89" i="11"/>
  <c r="J81" i="11"/>
  <c r="L92" i="11"/>
  <c r="J97" i="11"/>
  <c r="K88" i="11"/>
  <c r="L82" i="11"/>
  <c r="L101" i="11"/>
  <c r="J88" i="11"/>
  <c r="M104" i="11"/>
  <c r="K108" i="11"/>
  <c r="J30" i="11"/>
  <c r="J120" i="16"/>
  <c r="J109" i="16"/>
  <c r="K109" i="16" s="1"/>
  <c r="J95" i="16"/>
  <c r="K95" i="16" s="1"/>
  <c r="J100" i="16"/>
  <c r="J93" i="16"/>
  <c r="K93" i="16" s="1"/>
  <c r="J116" i="16"/>
  <c r="J108" i="16"/>
  <c r="K108" i="16" s="1"/>
  <c r="J94" i="16"/>
  <c r="J104" i="16"/>
  <c r="K104" i="16" s="1"/>
  <c r="J101" i="16"/>
  <c r="K101" i="16" s="1"/>
  <c r="J89" i="11"/>
  <c r="J145" i="16"/>
  <c r="J148" i="16"/>
  <c r="J114" i="16"/>
  <c r="J97" i="16"/>
  <c r="J117" i="16"/>
  <c r="K117" i="16" s="1"/>
  <c r="J119" i="16"/>
  <c r="J98" i="16"/>
  <c r="K98" i="16" s="1"/>
  <c r="J111" i="16"/>
  <c r="J110" i="16"/>
  <c r="K110" i="16" s="1"/>
  <c r="J99" i="16"/>
  <c r="K99" i="16" s="1"/>
  <c r="J105" i="16"/>
  <c r="K105" i="16" s="1"/>
  <c r="J96" i="16"/>
  <c r="K96" i="16" s="1"/>
  <c r="J103" i="16"/>
  <c r="J122" i="16"/>
  <c r="J112" i="16"/>
  <c r="J115" i="16"/>
  <c r="J118" i="16"/>
  <c r="J107" i="16"/>
  <c r="K107" i="16" s="1"/>
  <c r="L36" i="11"/>
  <c r="J48" i="16"/>
  <c r="K48" i="16" s="1"/>
  <c r="J132" i="11"/>
  <c r="J144" i="16"/>
  <c r="K144" i="16" s="1"/>
  <c r="L109" i="11"/>
  <c r="J121" i="16"/>
  <c r="K121" i="16" s="1"/>
  <c r="J101" i="11"/>
  <c r="J113" i="16"/>
  <c r="I94" i="11"/>
  <c r="J106" i="16"/>
  <c r="K106" i="16" s="1"/>
  <c r="I90" i="11"/>
  <c r="J102" i="16"/>
  <c r="K102" i="16" s="1"/>
  <c r="J42" i="16"/>
  <c r="K42" i="16" s="1"/>
  <c r="F23" i="1"/>
  <c r="F22" i="1" s="1"/>
  <c r="F19" i="1"/>
  <c r="F13" i="1"/>
  <c r="F12" i="1" s="1"/>
  <c r="F11" i="1" s="1"/>
  <c r="D16" i="33" s="1"/>
  <c r="F28" i="1"/>
  <c r="F29" i="1"/>
  <c r="F20" i="1"/>
  <c r="F16" i="1"/>
  <c r="D19" i="33" s="1"/>
  <c r="H19" i="33" s="1"/>
  <c r="J90" i="32" l="1"/>
  <c r="N90" i="33" s="1"/>
  <c r="O90" i="33" s="1"/>
  <c r="P90" i="33" s="1"/>
  <c r="S90" i="33" s="1"/>
  <c r="J89" i="32"/>
  <c r="N89" i="33" s="1"/>
  <c r="O89" i="33" s="1"/>
  <c r="P89" i="33" s="1"/>
  <c r="Q89" i="33" s="1"/>
  <c r="J92" i="32"/>
  <c r="N92" i="33" s="1"/>
  <c r="O92" i="33" s="1"/>
  <c r="P92" i="33" s="1"/>
  <c r="S92" i="33" s="1"/>
  <c r="J88" i="32"/>
  <c r="N88" i="33" s="1"/>
  <c r="O88" i="33" s="1"/>
  <c r="P88" i="33" s="1"/>
  <c r="S88" i="33" s="1"/>
  <c r="J86" i="32"/>
  <c r="N86" i="33" s="1"/>
  <c r="O86" i="33" s="1"/>
  <c r="P86" i="33" s="1"/>
  <c r="Q86" i="33" s="1"/>
  <c r="J84" i="32"/>
  <c r="N84" i="33" s="1"/>
  <c r="O84" i="33" s="1"/>
  <c r="P84" i="33" s="1"/>
  <c r="Q84" i="33" s="1"/>
  <c r="J133" i="32"/>
  <c r="N133" i="33" s="1"/>
  <c r="O133" i="33" s="1"/>
  <c r="P133" i="33" s="1"/>
  <c r="S133" i="33" s="1"/>
  <c r="L136" i="33"/>
  <c r="J132" i="32"/>
  <c r="N132" i="33" s="1"/>
  <c r="O132" i="33" s="1"/>
  <c r="P132" i="33" s="1"/>
  <c r="J136" i="32"/>
  <c r="N136" i="33" s="1"/>
  <c r="O136" i="33" s="1"/>
  <c r="P136" i="33" s="1"/>
  <c r="I132" i="33"/>
  <c r="H94" i="32"/>
  <c r="L94" i="33" s="1"/>
  <c r="F94" i="32"/>
  <c r="R102" i="33"/>
  <c r="Q102" i="33"/>
  <c r="S102" i="33"/>
  <c r="L101" i="33"/>
  <c r="H95" i="32"/>
  <c r="L95" i="33" s="1"/>
  <c r="F95" i="32"/>
  <c r="J83" i="33"/>
  <c r="L99" i="33"/>
  <c r="S87" i="33"/>
  <c r="R87" i="33"/>
  <c r="Q87" i="33"/>
  <c r="J96" i="33"/>
  <c r="L102" i="33"/>
  <c r="K102" i="32"/>
  <c r="J89" i="33"/>
  <c r="R91" i="33"/>
  <c r="Q91" i="33"/>
  <c r="S91" i="33"/>
  <c r="J84" i="33"/>
  <c r="J81" i="33"/>
  <c r="Q100" i="33"/>
  <c r="R100" i="33"/>
  <c r="S100" i="33"/>
  <c r="Q90" i="33"/>
  <c r="J97" i="32"/>
  <c r="N97" i="33" s="1"/>
  <c r="O97" i="33" s="1"/>
  <c r="P97" i="33" s="1"/>
  <c r="L87" i="33"/>
  <c r="K87" i="32"/>
  <c r="Q98" i="33"/>
  <c r="R98" i="33"/>
  <c r="S98" i="33"/>
  <c r="J86" i="33"/>
  <c r="Q85" i="33"/>
  <c r="R85" i="33"/>
  <c r="S85" i="33"/>
  <c r="L91" i="33"/>
  <c r="K91" i="32"/>
  <c r="J92" i="33"/>
  <c r="J83" i="32"/>
  <c r="N83" i="33" s="1"/>
  <c r="O83" i="33" s="1"/>
  <c r="P83" i="33" s="1"/>
  <c r="L100" i="33"/>
  <c r="K100" i="32"/>
  <c r="J82" i="32"/>
  <c r="N82" i="33" s="1"/>
  <c r="O82" i="33" s="1"/>
  <c r="P82" i="33" s="1"/>
  <c r="R82" i="33" s="1"/>
  <c r="J97" i="33"/>
  <c r="J96" i="32"/>
  <c r="N96" i="33" s="1"/>
  <c r="O96" i="33" s="1"/>
  <c r="P96" i="33" s="1"/>
  <c r="L98" i="33"/>
  <c r="K98" i="32"/>
  <c r="J88" i="33"/>
  <c r="L85" i="33"/>
  <c r="K85" i="32"/>
  <c r="J101" i="32"/>
  <c r="N101" i="33" s="1"/>
  <c r="O101" i="33" s="1"/>
  <c r="P101" i="33" s="1"/>
  <c r="J81" i="32"/>
  <c r="N81" i="33" s="1"/>
  <c r="O81" i="33" s="1"/>
  <c r="P81" i="33" s="1"/>
  <c r="J99" i="32"/>
  <c r="N99" i="33" s="1"/>
  <c r="O99" i="33" s="1"/>
  <c r="P99" i="33" s="1"/>
  <c r="J90" i="33"/>
  <c r="K90" i="32"/>
  <c r="H36" i="32"/>
  <c r="J36" i="32" s="1"/>
  <c r="N36" i="33" s="1"/>
  <c r="O36" i="33" s="1"/>
  <c r="P36" i="33" s="1"/>
  <c r="E32" i="32"/>
  <c r="H32" i="32"/>
  <c r="L32" i="33" s="1"/>
  <c r="D13" i="11"/>
  <c r="H13" i="11" s="1"/>
  <c r="G13" i="24" s="1"/>
  <c r="D13" i="32" s="1"/>
  <c r="D13" i="33"/>
  <c r="H13" i="33" s="1"/>
  <c r="H13" i="32"/>
  <c r="L13" i="33" s="1"/>
  <c r="E14" i="16"/>
  <c r="E13" i="32" s="1"/>
  <c r="I13" i="32"/>
  <c r="M13" i="33" s="1"/>
  <c r="J93" i="32"/>
  <c r="N93" i="33" s="1"/>
  <c r="O93" i="33" s="1"/>
  <c r="P93" i="33" s="1"/>
  <c r="R93" i="33" s="1"/>
  <c r="I133" i="33"/>
  <c r="R110" i="33"/>
  <c r="Q110" i="33"/>
  <c r="S110" i="33"/>
  <c r="L110" i="33"/>
  <c r="K110" i="32"/>
  <c r="L109" i="33"/>
  <c r="J109" i="32"/>
  <c r="N109" i="33" s="1"/>
  <c r="O109" i="33" s="1"/>
  <c r="P109" i="33" s="1"/>
  <c r="S108" i="33"/>
  <c r="R108" i="33"/>
  <c r="Q108" i="33"/>
  <c r="L108" i="33"/>
  <c r="K108" i="32"/>
  <c r="R107" i="33"/>
  <c r="Q107" i="33"/>
  <c r="S107" i="33"/>
  <c r="L107" i="33"/>
  <c r="K107" i="32"/>
  <c r="L106" i="33"/>
  <c r="J106" i="32"/>
  <c r="N106" i="33" s="1"/>
  <c r="O106" i="33" s="1"/>
  <c r="P106" i="33" s="1"/>
  <c r="J105" i="32"/>
  <c r="N105" i="33" s="1"/>
  <c r="O105" i="33" s="1"/>
  <c r="P105" i="33" s="1"/>
  <c r="J105" i="33"/>
  <c r="Q104" i="33"/>
  <c r="R104" i="33"/>
  <c r="S104" i="33"/>
  <c r="L104" i="33"/>
  <c r="K104" i="32"/>
  <c r="S103" i="33"/>
  <c r="Q103" i="33"/>
  <c r="R103" i="33"/>
  <c r="L103" i="33"/>
  <c r="K103" i="32"/>
  <c r="J93" i="33"/>
  <c r="J82" i="33"/>
  <c r="F18" i="1"/>
  <c r="F17" i="1" s="1"/>
  <c r="D20" i="33" s="1"/>
  <c r="H20" i="33" s="1"/>
  <c r="H16" i="33"/>
  <c r="J40" i="16"/>
  <c r="K40" i="16" s="1"/>
  <c r="H32" i="24"/>
  <c r="I32" i="24" s="1"/>
  <c r="G30" i="24"/>
  <c r="D30" i="32" s="1"/>
  <c r="H104" i="24"/>
  <c r="I104" i="24" s="1"/>
  <c r="H109" i="24"/>
  <c r="I109" i="24" s="1"/>
  <c r="H97" i="24"/>
  <c r="I97" i="24" s="1"/>
  <c r="H98" i="24"/>
  <c r="I98" i="24" s="1"/>
  <c r="H99" i="24"/>
  <c r="I99" i="24" s="1"/>
  <c r="H106" i="24"/>
  <c r="I106" i="24" s="1"/>
  <c r="H108" i="24"/>
  <c r="I108" i="24" s="1"/>
  <c r="H105" i="24"/>
  <c r="I105" i="24" s="1"/>
  <c r="L30" i="11"/>
  <c r="H102" i="24"/>
  <c r="I102" i="24" s="1"/>
  <c r="H36" i="24"/>
  <c r="I36" i="24" s="1"/>
  <c r="K30" i="11"/>
  <c r="H101" i="24"/>
  <c r="I101" i="24" s="1"/>
  <c r="H103" i="24"/>
  <c r="I103" i="24" s="1"/>
  <c r="H107" i="24"/>
  <c r="I107" i="24" s="1"/>
  <c r="H110" i="24"/>
  <c r="I110" i="24" s="1"/>
  <c r="H100" i="24"/>
  <c r="I100" i="24" s="1"/>
  <c r="D35" i="16"/>
  <c r="H35" i="16" s="1"/>
  <c r="G35" i="16" s="1"/>
  <c r="D34" i="16"/>
  <c r="H34" i="16" s="1"/>
  <c r="F27" i="1"/>
  <c r="D25" i="33" s="1"/>
  <c r="H25" i="33" s="1"/>
  <c r="D19" i="16"/>
  <c r="H19" i="16" s="1"/>
  <c r="H17" i="16" s="1"/>
  <c r="H16" i="32" s="1"/>
  <c r="L16" i="33" s="1"/>
  <c r="D25" i="16"/>
  <c r="D26" i="16"/>
  <c r="K113" i="16"/>
  <c r="K116" i="16"/>
  <c r="K118" i="16"/>
  <c r="K122" i="16"/>
  <c r="K120" i="16"/>
  <c r="I30" i="11"/>
  <c r="K111" i="16"/>
  <c r="K145" i="16"/>
  <c r="K115" i="16"/>
  <c r="K94" i="16"/>
  <c r="K148" i="16"/>
  <c r="K114" i="16"/>
  <c r="K100" i="16"/>
  <c r="K97" i="16"/>
  <c r="K112" i="16"/>
  <c r="K103" i="16"/>
  <c r="K119" i="16"/>
  <c r="D29" i="16"/>
  <c r="N90" i="11"/>
  <c r="O90" i="11" s="1"/>
  <c r="P90" i="11" s="1"/>
  <c r="N132" i="11"/>
  <c r="O132" i="11" s="1"/>
  <c r="P132" i="11" s="1"/>
  <c r="N87" i="11"/>
  <c r="O87" i="11" s="1"/>
  <c r="P87" i="11" s="1"/>
  <c r="N85" i="11"/>
  <c r="O85" i="11" s="1"/>
  <c r="P85" i="11" s="1"/>
  <c r="N108" i="11"/>
  <c r="O108" i="11" s="1"/>
  <c r="P108" i="11" s="1"/>
  <c r="Q108" i="11" s="1"/>
  <c r="N106" i="11"/>
  <c r="O106" i="11" s="1"/>
  <c r="P106" i="11" s="1"/>
  <c r="N83" i="11"/>
  <c r="O83" i="11" s="1"/>
  <c r="P83" i="11" s="1"/>
  <c r="Q83" i="11" s="1"/>
  <c r="N89" i="11"/>
  <c r="O89" i="11" s="1"/>
  <c r="P89" i="11" s="1"/>
  <c r="N101" i="11"/>
  <c r="O101" i="11" s="1"/>
  <c r="P101" i="11" s="1"/>
  <c r="N95" i="11"/>
  <c r="O95" i="11" s="1"/>
  <c r="P95" i="11" s="1"/>
  <c r="N110" i="11"/>
  <c r="O110" i="11" s="1"/>
  <c r="P110" i="11" s="1"/>
  <c r="N86" i="11"/>
  <c r="O86" i="11" s="1"/>
  <c r="P86" i="11" s="1"/>
  <c r="N133" i="11"/>
  <c r="O133" i="11" s="1"/>
  <c r="P133" i="11" s="1"/>
  <c r="N82" i="11"/>
  <c r="O82" i="11" s="1"/>
  <c r="P82" i="11" s="1"/>
  <c r="N88" i="11"/>
  <c r="O88" i="11" s="1"/>
  <c r="P88" i="11" s="1"/>
  <c r="N91" i="11"/>
  <c r="O91" i="11" s="1"/>
  <c r="P91" i="11" s="1"/>
  <c r="N102" i="11"/>
  <c r="O102" i="11" s="1"/>
  <c r="P102" i="11" s="1"/>
  <c r="N96" i="11"/>
  <c r="O96" i="11" s="1"/>
  <c r="P96" i="11" s="1"/>
  <c r="N32" i="11"/>
  <c r="O32" i="11" s="1"/>
  <c r="P32" i="11" s="1"/>
  <c r="N94" i="11"/>
  <c r="O94" i="11" s="1"/>
  <c r="P94" i="11" s="1"/>
  <c r="N109" i="11"/>
  <c r="O109" i="11" s="1"/>
  <c r="P109" i="11" s="1"/>
  <c r="N36" i="11"/>
  <c r="O36" i="11" s="1"/>
  <c r="P36" i="11" s="1"/>
  <c r="N103" i="11"/>
  <c r="O103" i="11" s="1"/>
  <c r="P103" i="11" s="1"/>
  <c r="N84" i="11"/>
  <c r="O84" i="11" s="1"/>
  <c r="P84" i="11" s="1"/>
  <c r="N98" i="11"/>
  <c r="O98" i="11" s="1"/>
  <c r="P98" i="11" s="1"/>
  <c r="N107" i="11"/>
  <c r="O107" i="11" s="1"/>
  <c r="P107" i="11" s="1"/>
  <c r="N136" i="11"/>
  <c r="O136" i="11" s="1"/>
  <c r="P136" i="11" s="1"/>
  <c r="N104" i="11"/>
  <c r="O104" i="11" s="1"/>
  <c r="P104" i="11" s="1"/>
  <c r="N100" i="11"/>
  <c r="O100" i="11" s="1"/>
  <c r="P100" i="11" s="1"/>
  <c r="N93" i="11"/>
  <c r="O93" i="11" s="1"/>
  <c r="P93" i="11" s="1"/>
  <c r="N99" i="11"/>
  <c r="O99" i="11" s="1"/>
  <c r="P99" i="11" s="1"/>
  <c r="N105" i="11"/>
  <c r="O105" i="11" s="1"/>
  <c r="P105" i="11" s="1"/>
  <c r="N92" i="11"/>
  <c r="O92" i="11" s="1"/>
  <c r="P92" i="11" s="1"/>
  <c r="N81" i="11"/>
  <c r="O81" i="11" s="1"/>
  <c r="P81" i="11" s="1"/>
  <c r="N97" i="11"/>
  <c r="O97" i="11" s="1"/>
  <c r="P97" i="11" s="1"/>
  <c r="R97" i="11" s="1"/>
  <c r="M30" i="11"/>
  <c r="D19" i="11"/>
  <c r="H19" i="11" s="1"/>
  <c r="D22" i="16"/>
  <c r="H14" i="11"/>
  <c r="G15" i="16"/>
  <c r="D14" i="16"/>
  <c r="H14" i="16"/>
  <c r="I14" i="16"/>
  <c r="R90" i="33" l="1"/>
  <c r="K84" i="32"/>
  <c r="K92" i="32"/>
  <c r="Q92" i="33"/>
  <c r="K133" i="32"/>
  <c r="K82" i="32"/>
  <c r="Q133" i="33"/>
  <c r="R133" i="33"/>
  <c r="K89" i="32"/>
  <c r="K88" i="32"/>
  <c r="S84" i="33"/>
  <c r="Q82" i="33"/>
  <c r="R86" i="33"/>
  <c r="K86" i="32"/>
  <c r="R84" i="33"/>
  <c r="S89" i="33"/>
  <c r="S86" i="33"/>
  <c r="R92" i="33"/>
  <c r="R89" i="33"/>
  <c r="K97" i="32"/>
  <c r="R88" i="33"/>
  <c r="Q88" i="33"/>
  <c r="S93" i="33"/>
  <c r="K93" i="32"/>
  <c r="K99" i="32"/>
  <c r="K101" i="32"/>
  <c r="S136" i="33"/>
  <c r="R136" i="33"/>
  <c r="Q136" i="33"/>
  <c r="Q132" i="33"/>
  <c r="R132" i="33"/>
  <c r="S132" i="33"/>
  <c r="S131" i="33" s="1"/>
  <c r="K132" i="32"/>
  <c r="K136" i="32"/>
  <c r="R83" i="33"/>
  <c r="Q83" i="33"/>
  <c r="S83" i="33"/>
  <c r="J95" i="33"/>
  <c r="S99" i="33"/>
  <c r="R99" i="33"/>
  <c r="Q99" i="33"/>
  <c r="S82" i="33"/>
  <c r="S81" i="33"/>
  <c r="Q81" i="33"/>
  <c r="R81" i="33"/>
  <c r="R96" i="33"/>
  <c r="Q96" i="33"/>
  <c r="S96" i="33"/>
  <c r="K81" i="32"/>
  <c r="K83" i="32"/>
  <c r="J94" i="32"/>
  <c r="N94" i="33" s="1"/>
  <c r="O94" i="33" s="1"/>
  <c r="P94" i="33" s="1"/>
  <c r="Q93" i="33"/>
  <c r="S101" i="33"/>
  <c r="R101" i="33"/>
  <c r="Q101" i="33"/>
  <c r="R97" i="33"/>
  <c r="S97" i="33"/>
  <c r="Q97" i="33"/>
  <c r="K96" i="32"/>
  <c r="J95" i="32"/>
  <c r="N95" i="33" s="1"/>
  <c r="O95" i="33" s="1"/>
  <c r="P95" i="33" s="1"/>
  <c r="J94" i="33"/>
  <c r="S36" i="33"/>
  <c r="R36" i="33"/>
  <c r="Q36" i="33"/>
  <c r="L36" i="33"/>
  <c r="K36" i="32"/>
  <c r="J32" i="32"/>
  <c r="N32" i="33" s="1"/>
  <c r="O32" i="33" s="1"/>
  <c r="P32" i="33" s="1"/>
  <c r="E30" i="32"/>
  <c r="J30" i="32" s="1"/>
  <c r="N30" i="33" s="1"/>
  <c r="O30" i="33" s="1"/>
  <c r="P30" i="33" s="1"/>
  <c r="I32" i="33"/>
  <c r="H22" i="16"/>
  <c r="L19" i="11" s="1"/>
  <c r="I13" i="33"/>
  <c r="J13" i="32"/>
  <c r="N13" i="33" s="1"/>
  <c r="O13" i="33" s="1"/>
  <c r="P13" i="33" s="1"/>
  <c r="K105" i="32"/>
  <c r="S109" i="33"/>
  <c r="Q109" i="33"/>
  <c r="R109" i="33"/>
  <c r="K109" i="32"/>
  <c r="Q106" i="33"/>
  <c r="R106" i="33"/>
  <c r="S106" i="33"/>
  <c r="K106" i="32"/>
  <c r="S105" i="33"/>
  <c r="R105" i="33"/>
  <c r="Q105" i="33"/>
  <c r="G19" i="24"/>
  <c r="D19" i="32" s="1"/>
  <c r="G14" i="24"/>
  <c r="D14" i="32" s="1"/>
  <c r="H30" i="24"/>
  <c r="I30" i="24" s="1"/>
  <c r="H13" i="24"/>
  <c r="I13" i="24" s="1"/>
  <c r="F21" i="1"/>
  <c r="D28" i="16"/>
  <c r="D27" i="16" s="1"/>
  <c r="D18" i="16"/>
  <c r="J18" i="16" s="1"/>
  <c r="K18" i="16" s="1"/>
  <c r="D24" i="16"/>
  <c r="E24" i="16" s="1"/>
  <c r="E23" i="16" s="1"/>
  <c r="E20" i="32" s="1"/>
  <c r="H26" i="16"/>
  <c r="G33" i="16"/>
  <c r="G25" i="32" s="1"/>
  <c r="K35" i="16"/>
  <c r="N30" i="11"/>
  <c r="O30" i="11" s="1"/>
  <c r="P30" i="11" s="1"/>
  <c r="R30" i="11" s="1"/>
  <c r="H33" i="16"/>
  <c r="H25" i="32" s="1"/>
  <c r="L25" i="33" s="1"/>
  <c r="J34" i="16"/>
  <c r="K34" i="16" s="1"/>
  <c r="K14" i="11"/>
  <c r="H29" i="16"/>
  <c r="G29" i="16" s="1"/>
  <c r="J29" i="16" s="1"/>
  <c r="H25" i="16"/>
  <c r="G25" i="16" s="1"/>
  <c r="J25" i="16" s="1"/>
  <c r="I25" i="11"/>
  <c r="R108" i="11"/>
  <c r="S108" i="11"/>
  <c r="S97" i="11"/>
  <c r="R83" i="11"/>
  <c r="Q97" i="11"/>
  <c r="S83" i="11"/>
  <c r="M13" i="11"/>
  <c r="J13" i="11"/>
  <c r="J15" i="11"/>
  <c r="L13" i="11"/>
  <c r="I13" i="11"/>
  <c r="K13" i="11"/>
  <c r="Q89" i="11"/>
  <c r="S89" i="11"/>
  <c r="R89" i="11"/>
  <c r="S81" i="11"/>
  <c r="R81" i="11"/>
  <c r="Q81" i="11"/>
  <c r="S88" i="11"/>
  <c r="R88" i="11"/>
  <c r="Q88" i="11"/>
  <c r="R96" i="11"/>
  <c r="Q96" i="11"/>
  <c r="S96" i="11"/>
  <c r="S92" i="11"/>
  <c r="R92" i="11"/>
  <c r="Q92" i="11"/>
  <c r="Q104" i="11"/>
  <c r="R104" i="11"/>
  <c r="S104" i="11"/>
  <c r="S82" i="11"/>
  <c r="R82" i="11"/>
  <c r="Q82" i="11"/>
  <c r="S136" i="11"/>
  <c r="R136" i="11"/>
  <c r="Q136" i="11"/>
  <c r="R133" i="11"/>
  <c r="S133" i="11"/>
  <c r="Q133" i="11"/>
  <c r="R132" i="11"/>
  <c r="Q132" i="11"/>
  <c r="S132" i="11"/>
  <c r="S131" i="11" s="1"/>
  <c r="S84" i="11"/>
  <c r="R84" i="11"/>
  <c r="Q84" i="11"/>
  <c r="Q99" i="11"/>
  <c r="R99" i="11"/>
  <c r="S99" i="11"/>
  <c r="R91" i="11"/>
  <c r="Q91" i="11"/>
  <c r="S91" i="11"/>
  <c r="R85" i="11"/>
  <c r="Q85" i="11"/>
  <c r="S85" i="11"/>
  <c r="R95" i="11"/>
  <c r="Q95" i="11"/>
  <c r="S95" i="11"/>
  <c r="R103" i="11"/>
  <c r="Q103" i="11"/>
  <c r="S103" i="11"/>
  <c r="Q102" i="11"/>
  <c r="S102" i="11"/>
  <c r="R102" i="11"/>
  <c r="R106" i="11"/>
  <c r="S106" i="11"/>
  <c r="Q106" i="11"/>
  <c r="Q86" i="11"/>
  <c r="S86" i="11"/>
  <c r="R86" i="11"/>
  <c r="Q101" i="11"/>
  <c r="R101" i="11"/>
  <c r="S101" i="11"/>
  <c r="Q87" i="11"/>
  <c r="R87" i="11"/>
  <c r="S87" i="11"/>
  <c r="S90" i="11"/>
  <c r="R90" i="11"/>
  <c r="Q90" i="11"/>
  <c r="R107" i="11"/>
  <c r="Q107" i="11"/>
  <c r="S107" i="11"/>
  <c r="Q109" i="11"/>
  <c r="S109" i="11"/>
  <c r="R109" i="11"/>
  <c r="R105" i="11"/>
  <c r="S105" i="11"/>
  <c r="Q105" i="11"/>
  <c r="S98" i="11"/>
  <c r="Q98" i="11"/>
  <c r="R98" i="11"/>
  <c r="S94" i="11"/>
  <c r="R94" i="11"/>
  <c r="Q94" i="11"/>
  <c r="S100" i="11"/>
  <c r="Q100" i="11"/>
  <c r="R100" i="11"/>
  <c r="Q110" i="11"/>
  <c r="S110" i="11"/>
  <c r="R110" i="11"/>
  <c r="Q93" i="11"/>
  <c r="S93" i="11"/>
  <c r="R93" i="11"/>
  <c r="Q36" i="11"/>
  <c r="R36" i="11"/>
  <c r="S36" i="11"/>
  <c r="Q32" i="11"/>
  <c r="S32" i="11"/>
  <c r="R32" i="11"/>
  <c r="D25" i="11"/>
  <c r="H25" i="11" s="1"/>
  <c r="D33" i="16"/>
  <c r="J19" i="11"/>
  <c r="E22" i="16"/>
  <c r="J22" i="16" s="1"/>
  <c r="H15" i="11"/>
  <c r="I14" i="11"/>
  <c r="M14" i="11"/>
  <c r="H15" i="16"/>
  <c r="J14" i="16"/>
  <c r="R131" i="33" l="1"/>
  <c r="Q131" i="33"/>
  <c r="K32" i="32"/>
  <c r="R95" i="33"/>
  <c r="S95" i="33"/>
  <c r="Q95" i="33"/>
  <c r="S94" i="33"/>
  <c r="Q94" i="33"/>
  <c r="R94" i="33"/>
  <c r="K94" i="32"/>
  <c r="K95" i="32"/>
  <c r="S30" i="33"/>
  <c r="Q30" i="33"/>
  <c r="R30" i="33"/>
  <c r="I30" i="33"/>
  <c r="K30" i="32"/>
  <c r="S32" i="33"/>
  <c r="R32" i="33"/>
  <c r="Q32" i="33"/>
  <c r="E19" i="32"/>
  <c r="H19" i="32"/>
  <c r="L19" i="33" s="1"/>
  <c r="G14" i="32"/>
  <c r="H14" i="32"/>
  <c r="L14" i="33" s="1"/>
  <c r="R13" i="33"/>
  <c r="Q13" i="33"/>
  <c r="S13" i="33"/>
  <c r="K13" i="32"/>
  <c r="K25" i="33"/>
  <c r="D21" i="11"/>
  <c r="H21" i="11" s="1"/>
  <c r="G21" i="24" s="1"/>
  <c r="D21" i="32" s="1"/>
  <c r="D21" i="33"/>
  <c r="G26" i="16"/>
  <c r="J26" i="16" s="1"/>
  <c r="H24" i="16"/>
  <c r="J24" i="16" s="1"/>
  <c r="G19" i="16"/>
  <c r="J19" i="16" s="1"/>
  <c r="H19" i="24"/>
  <c r="I19" i="24" s="1"/>
  <c r="G25" i="24"/>
  <c r="D25" i="32" s="1"/>
  <c r="J25" i="32" s="1"/>
  <c r="N25" i="33" s="1"/>
  <c r="S30" i="11"/>
  <c r="H14" i="24"/>
  <c r="I14" i="24" s="1"/>
  <c r="Q30" i="11"/>
  <c r="G15" i="24"/>
  <c r="D15" i="32" s="1"/>
  <c r="J28" i="16"/>
  <c r="K28" i="16" s="1"/>
  <c r="D23" i="16"/>
  <c r="D20" i="11"/>
  <c r="H20" i="11" s="1"/>
  <c r="G27" i="16"/>
  <c r="G21" i="32" s="1"/>
  <c r="K21" i="33" s="1"/>
  <c r="H27" i="16"/>
  <c r="H21" i="32" s="1"/>
  <c r="L21" i="33" s="1"/>
  <c r="D16" i="11"/>
  <c r="D17" i="16"/>
  <c r="K14" i="16"/>
  <c r="J33" i="16"/>
  <c r="K33" i="16" s="1"/>
  <c r="O16" i="12"/>
  <c r="K29" i="16"/>
  <c r="M15" i="11"/>
  <c r="K19" i="11"/>
  <c r="L25" i="11"/>
  <c r="J16" i="11"/>
  <c r="I16" i="11"/>
  <c r="N13" i="11"/>
  <c r="O13" i="11" s="1"/>
  <c r="J20" i="11"/>
  <c r="M16" i="11"/>
  <c r="K25" i="11"/>
  <c r="M20" i="11"/>
  <c r="I20" i="11"/>
  <c r="K15" i="11"/>
  <c r="I19" i="11"/>
  <c r="M21" i="11"/>
  <c r="M25" i="11"/>
  <c r="M19" i="11"/>
  <c r="J21" i="11"/>
  <c r="J25" i="11"/>
  <c r="L16" i="11"/>
  <c r="I21" i="11"/>
  <c r="R131" i="11"/>
  <c r="Q131" i="11"/>
  <c r="K22" i="16"/>
  <c r="L14" i="11"/>
  <c r="M122" i="1"/>
  <c r="M124" i="1"/>
  <c r="M125" i="1"/>
  <c r="M126" i="1"/>
  <c r="J14" i="32" l="1"/>
  <c r="N14" i="33" s="1"/>
  <c r="O25" i="33"/>
  <c r="P25" i="33" s="1"/>
  <c r="S25" i="33" s="1"/>
  <c r="J19" i="32"/>
  <c r="N19" i="33" s="1"/>
  <c r="O19" i="33" s="1"/>
  <c r="P19" i="33" s="1"/>
  <c r="S19" i="33" s="1"/>
  <c r="I19" i="33"/>
  <c r="H15" i="32"/>
  <c r="J15" i="32" s="1"/>
  <c r="N15" i="33" s="1"/>
  <c r="O15" i="33" s="1"/>
  <c r="P15" i="33" s="1"/>
  <c r="K14" i="33"/>
  <c r="K25" i="32"/>
  <c r="J21" i="32"/>
  <c r="K21" i="32" s="1"/>
  <c r="H21" i="33"/>
  <c r="H16" i="11"/>
  <c r="G16" i="24" s="1"/>
  <c r="D16" i="32" s="1"/>
  <c r="K26" i="16"/>
  <c r="L21" i="11"/>
  <c r="H25" i="24"/>
  <c r="I25" i="24" s="1"/>
  <c r="H21" i="24"/>
  <c r="I21" i="24" s="1"/>
  <c r="G20" i="24"/>
  <c r="D20" i="32" s="1"/>
  <c r="H15" i="24"/>
  <c r="I15" i="24" s="1"/>
  <c r="J27" i="16"/>
  <c r="K27" i="16" s="1"/>
  <c r="H23" i="16"/>
  <c r="H20" i="32" s="1"/>
  <c r="K24" i="16"/>
  <c r="K21" i="11"/>
  <c r="G17" i="16"/>
  <c r="G16" i="32" s="1"/>
  <c r="K16" i="33" s="1"/>
  <c r="K19" i="16"/>
  <c r="M16" i="12"/>
  <c r="N16" i="12"/>
  <c r="J16" i="16"/>
  <c r="K16" i="16" s="1"/>
  <c r="P13" i="11"/>
  <c r="K33" i="11"/>
  <c r="L15" i="11"/>
  <c r="I33" i="11"/>
  <c r="N19" i="11"/>
  <c r="O19" i="11" s="1"/>
  <c r="P19" i="11" s="1"/>
  <c r="N25" i="11"/>
  <c r="O25" i="11" s="1"/>
  <c r="P25" i="11" s="1"/>
  <c r="R25" i="11" s="1"/>
  <c r="J15" i="16"/>
  <c r="F24" i="1"/>
  <c r="D22" i="33" s="1"/>
  <c r="H22" i="33" s="1"/>
  <c r="K14" i="32" l="1"/>
  <c r="O14" i="33"/>
  <c r="P14" i="33" s="1"/>
  <c r="Q14" i="33" s="1"/>
  <c r="K19" i="32"/>
  <c r="Q25" i="33"/>
  <c r="J16" i="32"/>
  <c r="N16" i="33" s="1"/>
  <c r="R25" i="33"/>
  <c r="Q19" i="33"/>
  <c r="R19" i="33"/>
  <c r="N21" i="33"/>
  <c r="O21" i="33" s="1"/>
  <c r="P21" i="33" s="1"/>
  <c r="Q21" i="33" s="1"/>
  <c r="R15" i="33"/>
  <c r="S15" i="33"/>
  <c r="Q15" i="33"/>
  <c r="L15" i="33"/>
  <c r="K15" i="32"/>
  <c r="L20" i="33"/>
  <c r="H16" i="24"/>
  <c r="I16" i="24" s="1"/>
  <c r="J17" i="16"/>
  <c r="K17" i="16" s="1"/>
  <c r="H20" i="24"/>
  <c r="I20" i="24" s="1"/>
  <c r="N21" i="11"/>
  <c r="O21" i="11" s="1"/>
  <c r="P21" i="11" s="1"/>
  <c r="Q21" i="11" s="1"/>
  <c r="K16" i="11"/>
  <c r="L20" i="11"/>
  <c r="K15" i="16"/>
  <c r="S13" i="11"/>
  <c r="Q13" i="11"/>
  <c r="R13" i="11"/>
  <c r="N14" i="11"/>
  <c r="O14" i="11" s="1"/>
  <c r="P14" i="11" s="1"/>
  <c r="N15" i="11"/>
  <c r="O15" i="11" s="1"/>
  <c r="P15" i="11" s="1"/>
  <c r="S25" i="11"/>
  <c r="Q25" i="11"/>
  <c r="S19" i="11"/>
  <c r="Q19" i="11"/>
  <c r="R19" i="11"/>
  <c r="D22" i="11"/>
  <c r="D30" i="16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0" i="17"/>
  <c r="F161" i="17"/>
  <c r="F162" i="17"/>
  <c r="F163" i="17"/>
  <c r="F164" i="17"/>
  <c r="F165" i="17"/>
  <c r="F166" i="17"/>
  <c r="F167" i="17"/>
  <c r="F168" i="17"/>
  <c r="F169" i="17"/>
  <c r="F170" i="17"/>
  <c r="F171" i="17"/>
  <c r="F172" i="17"/>
  <c r="F173" i="17"/>
  <c r="F174" i="17"/>
  <c r="F175" i="17"/>
  <c r="F176" i="17"/>
  <c r="F177" i="17"/>
  <c r="F178" i="17"/>
  <c r="F179" i="17"/>
  <c r="F180" i="17"/>
  <c r="F181" i="17"/>
  <c r="F182" i="17"/>
  <c r="F183" i="17"/>
  <c r="F184" i="17"/>
  <c r="F185" i="17"/>
  <c r="F186" i="17"/>
  <c r="F187" i="17"/>
  <c r="F188" i="17"/>
  <c r="F14" i="17"/>
  <c r="F15" i="17"/>
  <c r="F16" i="17"/>
  <c r="F17" i="17"/>
  <c r="F18" i="17"/>
  <c r="F19" i="17"/>
  <c r="F20" i="17"/>
  <c r="F21" i="17"/>
  <c r="F22" i="17"/>
  <c r="F23" i="17"/>
  <c r="F13" i="17"/>
  <c r="D19" i="17"/>
  <c r="D20" i="17"/>
  <c r="D24" i="17"/>
  <c r="D25" i="17"/>
  <c r="D28" i="17"/>
  <c r="D29" i="17"/>
  <c r="D30" i="17"/>
  <c r="D37" i="17"/>
  <c r="D38" i="17"/>
  <c r="D79" i="17"/>
  <c r="D80" i="17"/>
  <c r="D114" i="17"/>
  <c r="D115" i="17"/>
  <c r="D127" i="17"/>
  <c r="D128" i="17"/>
  <c r="D133" i="17"/>
  <c r="D134" i="17"/>
  <c r="D137" i="17"/>
  <c r="D138" i="17"/>
  <c r="D173" i="17"/>
  <c r="D174" i="17"/>
  <c r="D175" i="17"/>
  <c r="C15" i="17"/>
  <c r="C16" i="17"/>
  <c r="C17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8" i="17"/>
  <c r="C179" i="17"/>
  <c r="C180" i="17"/>
  <c r="C181" i="17"/>
  <c r="C182" i="17"/>
  <c r="C183" i="17"/>
  <c r="S14" i="33" l="1"/>
  <c r="R14" i="33"/>
  <c r="K16" i="32"/>
  <c r="R21" i="33"/>
  <c r="S21" i="33"/>
  <c r="H22" i="11"/>
  <c r="G22" i="24" s="1"/>
  <c r="D22" i="32" s="1"/>
  <c r="I20" i="33"/>
  <c r="O16" i="33"/>
  <c r="P16" i="33" s="1"/>
  <c r="N16" i="11"/>
  <c r="S21" i="11"/>
  <c r="R21" i="11"/>
  <c r="R15" i="11"/>
  <c r="Q15" i="11"/>
  <c r="S15" i="11"/>
  <c r="R14" i="11"/>
  <c r="Q14" i="11"/>
  <c r="S14" i="11"/>
  <c r="H30" i="16"/>
  <c r="J30" i="16" s="1"/>
  <c r="H15" i="18"/>
  <c r="D14" i="18"/>
  <c r="F14" i="18" s="1"/>
  <c r="G14" i="18" s="1"/>
  <c r="A3" i="18"/>
  <c r="L5" i="18" s="1"/>
  <c r="N177" i="17"/>
  <c r="N176" i="17"/>
  <c r="N175" i="17"/>
  <c r="Z172" i="17"/>
  <c r="AC166" i="17"/>
  <c r="AC165" i="17"/>
  <c r="AC164" i="17"/>
  <c r="AC163" i="17"/>
  <c r="AC162" i="17"/>
  <c r="AC161" i="17"/>
  <c r="AC160" i="17"/>
  <c r="AC159" i="17"/>
  <c r="AC158" i="17"/>
  <c r="AC157" i="17"/>
  <c r="AC156" i="17"/>
  <c r="AC155" i="17"/>
  <c r="AC154" i="17"/>
  <c r="AC153" i="17"/>
  <c r="AC152" i="17"/>
  <c r="AC151" i="17"/>
  <c r="AC150" i="17"/>
  <c r="AC149" i="17"/>
  <c r="AC148" i="17"/>
  <c r="AC147" i="17"/>
  <c r="AC146" i="17"/>
  <c r="AC145" i="17"/>
  <c r="AC144" i="17"/>
  <c r="AC143" i="17"/>
  <c r="AC142" i="17"/>
  <c r="AC141" i="17"/>
  <c r="N141" i="17"/>
  <c r="AC140" i="17"/>
  <c r="N140" i="17"/>
  <c r="AC139" i="17"/>
  <c r="N139" i="17"/>
  <c r="AC138" i="17"/>
  <c r="N138" i="17"/>
  <c r="AC137" i="17"/>
  <c r="AC136" i="17"/>
  <c r="N136" i="17"/>
  <c r="AC135" i="17"/>
  <c r="N135" i="17"/>
  <c r="AG131" i="17"/>
  <c r="AE131" i="17"/>
  <c r="AC130" i="17"/>
  <c r="AC128" i="17" s="1"/>
  <c r="N130" i="17"/>
  <c r="AG129" i="17"/>
  <c r="AF129" i="17"/>
  <c r="AE129" i="17"/>
  <c r="N129" i="17"/>
  <c r="AB128" i="17"/>
  <c r="AA128" i="17"/>
  <c r="Z128" i="17"/>
  <c r="Y128" i="17"/>
  <c r="X128" i="17"/>
  <c r="W128" i="17"/>
  <c r="V128" i="17"/>
  <c r="AC127" i="17"/>
  <c r="AC126" i="17"/>
  <c r="AC125" i="17"/>
  <c r="AC122" i="17"/>
  <c r="AC120" i="17"/>
  <c r="AC119" i="17"/>
  <c r="AC118" i="17"/>
  <c r="AC117" i="17"/>
  <c r="N117" i="17"/>
  <c r="AC116" i="17"/>
  <c r="N116" i="17"/>
  <c r="AC115" i="17"/>
  <c r="N115" i="17"/>
  <c r="AC114" i="17"/>
  <c r="AC113" i="17"/>
  <c r="N113" i="17"/>
  <c r="N112" i="17"/>
  <c r="N111" i="17"/>
  <c r="AC110" i="17"/>
  <c r="N110" i="17"/>
  <c r="AC109" i="17"/>
  <c r="N109" i="17"/>
  <c r="AC108" i="17"/>
  <c r="N108" i="17"/>
  <c r="AC107" i="17"/>
  <c r="N107" i="17"/>
  <c r="AC106" i="17"/>
  <c r="N106" i="17"/>
  <c r="AC105" i="17"/>
  <c r="N105" i="17"/>
  <c r="AC104" i="17"/>
  <c r="N104" i="17"/>
  <c r="N103" i="17"/>
  <c r="N102" i="17"/>
  <c r="N101" i="17"/>
  <c r="AC100" i="17"/>
  <c r="N100" i="17"/>
  <c r="AC99" i="17"/>
  <c r="N99" i="17"/>
  <c r="AC98" i="17"/>
  <c r="N98" i="17"/>
  <c r="AC97" i="17"/>
  <c r="N97" i="17"/>
  <c r="AC96" i="17"/>
  <c r="N96" i="17"/>
  <c r="AC95" i="17"/>
  <c r="N95" i="17"/>
  <c r="AC94" i="17"/>
  <c r="N94" i="17"/>
  <c r="AC93" i="17"/>
  <c r="N93" i="17"/>
  <c r="AC92" i="17"/>
  <c r="N92" i="17"/>
  <c r="AC91" i="17"/>
  <c r="N91" i="17"/>
  <c r="AC90" i="17"/>
  <c r="N90" i="17"/>
  <c r="AC89" i="17"/>
  <c r="N89" i="17"/>
  <c r="AC88" i="17"/>
  <c r="N88" i="17"/>
  <c r="AC87" i="17"/>
  <c r="N87" i="17"/>
  <c r="AC86" i="17"/>
  <c r="N86" i="17"/>
  <c r="AC85" i="17"/>
  <c r="N85" i="17"/>
  <c r="AC84" i="17"/>
  <c r="N84" i="17"/>
  <c r="AC83" i="17"/>
  <c r="AC82" i="17"/>
  <c r="N82" i="17"/>
  <c r="AC81" i="17"/>
  <c r="N81" i="17"/>
  <c r="AC80" i="17"/>
  <c r="AC79" i="17"/>
  <c r="AC78" i="17"/>
  <c r="AC59" i="17"/>
  <c r="AC49" i="17"/>
  <c r="AC48" i="17"/>
  <c r="AC47" i="17"/>
  <c r="AC46" i="17"/>
  <c r="AC45" i="17"/>
  <c r="AC44" i="17"/>
  <c r="AC43" i="17"/>
  <c r="AC42" i="17"/>
  <c r="AC41" i="17"/>
  <c r="N41" i="17"/>
  <c r="AC40" i="17"/>
  <c r="N40" i="17"/>
  <c r="AC39" i="17"/>
  <c r="N39" i="17"/>
  <c r="AC38" i="17"/>
  <c r="AC37" i="17"/>
  <c r="N35" i="17"/>
  <c r="N33" i="17"/>
  <c r="N32" i="17"/>
  <c r="N31" i="17"/>
  <c r="N30" i="17"/>
  <c r="N29" i="17"/>
  <c r="N26" i="17"/>
  <c r="N25" i="17"/>
  <c r="N22" i="17"/>
  <c r="N20" i="17"/>
  <c r="N18" i="17"/>
  <c r="N17" i="17"/>
  <c r="N16" i="17"/>
  <c r="N15" i="17"/>
  <c r="N14" i="17"/>
  <c r="N13" i="17"/>
  <c r="D13" i="17"/>
  <c r="C13" i="17"/>
  <c r="AO12" i="17"/>
  <c r="A3" i="17"/>
  <c r="H22" i="32" l="1"/>
  <c r="L22" i="33" s="1"/>
  <c r="O16" i="11"/>
  <c r="P16" i="11" s="1"/>
  <c r="Q16" i="11" s="1"/>
  <c r="Q12" i="11" s="1"/>
  <c r="S16" i="33"/>
  <c r="S12" i="33" s="1"/>
  <c r="R16" i="33"/>
  <c r="R12" i="33" s="1"/>
  <c r="Q16" i="33"/>
  <c r="Q12" i="33" s="1"/>
  <c r="H22" i="24"/>
  <c r="I22" i="24" s="1"/>
  <c r="K22" i="11"/>
  <c r="M22" i="11"/>
  <c r="I22" i="11"/>
  <c r="L22" i="11"/>
  <c r="J22" i="11"/>
  <c r="R16" i="11" l="1"/>
  <c r="R12" i="11" s="1"/>
  <c r="N8" i="12" s="1"/>
  <c r="S16" i="11"/>
  <c r="S12" i="11" s="1"/>
  <c r="O8" i="12" s="1"/>
  <c r="J22" i="32"/>
  <c r="C27" i="12"/>
  <c r="C7" i="12"/>
  <c r="C47" i="12"/>
  <c r="K30" i="16"/>
  <c r="O8" i="26"/>
  <c r="N22" i="11"/>
  <c r="O22" i="11" s="1"/>
  <c r="P22" i="11" s="1"/>
  <c r="M8" i="12"/>
  <c r="J34" i="17"/>
  <c r="J81" i="17"/>
  <c r="J32" i="17"/>
  <c r="J15" i="17"/>
  <c r="K22" i="32" l="1"/>
  <c r="N22" i="33"/>
  <c r="O22" i="33" s="1"/>
  <c r="P22" i="33" s="1"/>
  <c r="D47" i="12"/>
  <c r="D7" i="12"/>
  <c r="F7" i="12" s="1"/>
  <c r="G7" i="12" s="1"/>
  <c r="D27" i="12"/>
  <c r="N8" i="26"/>
  <c r="R22" i="11"/>
  <c r="Q22" i="11"/>
  <c r="S22" i="11"/>
  <c r="J33" i="17"/>
  <c r="C126" i="17"/>
  <c r="D193" i="1"/>
  <c r="D190" i="1"/>
  <c r="D191" i="1"/>
  <c r="D192" i="1"/>
  <c r="Q22" i="33" l="1"/>
  <c r="S22" i="33"/>
  <c r="R22" i="33"/>
  <c r="F27" i="12"/>
  <c r="F47" i="12"/>
  <c r="C47" i="26"/>
  <c r="C27" i="26"/>
  <c r="C7" i="26"/>
  <c r="M8" i="26"/>
  <c r="C188" i="17"/>
  <c r="C185" i="17"/>
  <c r="C184" i="17"/>
  <c r="C187" i="17"/>
  <c r="C186" i="17"/>
  <c r="E19" i="17"/>
  <c r="H19" i="17" s="1"/>
  <c r="O19" i="17" s="1"/>
  <c r="P19" i="17" s="1"/>
  <c r="E31" i="17"/>
  <c r="E36" i="17"/>
  <c r="E13" i="17"/>
  <c r="H13" i="17" s="1"/>
  <c r="E14" i="17"/>
  <c r="E15" i="17"/>
  <c r="E16" i="17"/>
  <c r="E17" i="17"/>
  <c r="E18" i="17"/>
  <c r="D27" i="26" l="1"/>
  <c r="G47" i="12"/>
  <c r="D47" i="26"/>
  <c r="G27" i="12"/>
  <c r="D7" i="26"/>
  <c r="L25" i="17"/>
  <c r="J176" i="17"/>
  <c r="J177" i="17"/>
  <c r="L20" i="17"/>
  <c r="E179" i="17"/>
  <c r="E167" i="17"/>
  <c r="E151" i="17"/>
  <c r="E139" i="17"/>
  <c r="E127" i="17"/>
  <c r="H127" i="17" s="1"/>
  <c r="O127" i="17" s="1"/>
  <c r="P127" i="17" s="1"/>
  <c r="E115" i="17"/>
  <c r="H115" i="17" s="1"/>
  <c r="E103" i="17"/>
  <c r="E91" i="17"/>
  <c r="E83" i="17"/>
  <c r="E71" i="17"/>
  <c r="E59" i="17"/>
  <c r="E51" i="17"/>
  <c r="E43" i="17"/>
  <c r="E35" i="17"/>
  <c r="E27" i="17"/>
  <c r="E186" i="17"/>
  <c r="E178" i="17"/>
  <c r="E170" i="17"/>
  <c r="E162" i="17"/>
  <c r="E158" i="17"/>
  <c r="E154" i="17"/>
  <c r="E150" i="17"/>
  <c r="E142" i="17"/>
  <c r="E138" i="17"/>
  <c r="H138" i="17" s="1"/>
  <c r="E134" i="17"/>
  <c r="H134" i="17" s="1"/>
  <c r="E130" i="17"/>
  <c r="E126" i="17"/>
  <c r="E122" i="17"/>
  <c r="E118" i="17"/>
  <c r="E114" i="17"/>
  <c r="H114" i="17" s="1"/>
  <c r="O114" i="17" s="1"/>
  <c r="P114" i="17" s="1"/>
  <c r="E110" i="17"/>
  <c r="E106" i="17"/>
  <c r="E102" i="17"/>
  <c r="E98" i="17"/>
  <c r="E94" i="17"/>
  <c r="E90" i="17"/>
  <c r="E86" i="17"/>
  <c r="E82" i="17"/>
  <c r="E78" i="17"/>
  <c r="E74" i="17"/>
  <c r="E70" i="17"/>
  <c r="E66" i="17"/>
  <c r="E62" i="17"/>
  <c r="E58" i="17"/>
  <c r="E54" i="17"/>
  <c r="E50" i="17"/>
  <c r="E46" i="17"/>
  <c r="E42" i="17"/>
  <c r="E38" i="17"/>
  <c r="H38" i="17" s="1"/>
  <c r="E34" i="17"/>
  <c r="E30" i="17"/>
  <c r="H30" i="17" s="1"/>
  <c r="E26" i="17"/>
  <c r="E22" i="17"/>
  <c r="L30" i="17"/>
  <c r="E183" i="17"/>
  <c r="E171" i="17"/>
  <c r="E155" i="17"/>
  <c r="E143" i="17"/>
  <c r="E131" i="17"/>
  <c r="E119" i="17"/>
  <c r="E111" i="17"/>
  <c r="E99" i="17"/>
  <c r="E87" i="17"/>
  <c r="E75" i="17"/>
  <c r="E67" i="17"/>
  <c r="E55" i="17"/>
  <c r="E39" i="17"/>
  <c r="E23" i="17"/>
  <c r="E182" i="17"/>
  <c r="E174" i="17"/>
  <c r="H174" i="17" s="1"/>
  <c r="E166" i="17"/>
  <c r="E146" i="17"/>
  <c r="E185" i="17"/>
  <c r="E181" i="17"/>
  <c r="E177" i="17"/>
  <c r="E173" i="17"/>
  <c r="H173" i="17" s="1"/>
  <c r="O173" i="17" s="1"/>
  <c r="P173" i="17" s="1"/>
  <c r="E169" i="17"/>
  <c r="E165" i="17"/>
  <c r="E161" i="17"/>
  <c r="E157" i="17"/>
  <c r="E153" i="17"/>
  <c r="E149" i="17"/>
  <c r="E145" i="17"/>
  <c r="E141" i="17"/>
  <c r="E137" i="17"/>
  <c r="H137" i="17" s="1"/>
  <c r="O137" i="17" s="1"/>
  <c r="P137" i="17" s="1"/>
  <c r="E133" i="17"/>
  <c r="H133" i="17" s="1"/>
  <c r="O133" i="17" s="1"/>
  <c r="P133" i="17" s="1"/>
  <c r="E129" i="17"/>
  <c r="E125" i="17"/>
  <c r="E121" i="17"/>
  <c r="E117" i="17"/>
  <c r="E113" i="17"/>
  <c r="E109" i="17"/>
  <c r="E105" i="17"/>
  <c r="E101" i="17"/>
  <c r="E97" i="17"/>
  <c r="E93" i="17"/>
  <c r="E89" i="17"/>
  <c r="E85" i="17"/>
  <c r="E81" i="17"/>
  <c r="E77" i="17"/>
  <c r="E73" i="17"/>
  <c r="E69" i="17"/>
  <c r="E65" i="17"/>
  <c r="E61" i="17"/>
  <c r="E57" i="17"/>
  <c r="E53" i="17"/>
  <c r="E49" i="17"/>
  <c r="E45" i="17"/>
  <c r="E41" i="17"/>
  <c r="E37" i="17"/>
  <c r="H37" i="17" s="1"/>
  <c r="O37" i="17" s="1"/>
  <c r="P37" i="17" s="1"/>
  <c r="E33" i="17"/>
  <c r="E29" i="17"/>
  <c r="H29" i="17" s="1"/>
  <c r="E25" i="17"/>
  <c r="H25" i="17" s="1"/>
  <c r="E21" i="17"/>
  <c r="E187" i="17"/>
  <c r="E175" i="17"/>
  <c r="H175" i="17" s="1"/>
  <c r="E163" i="17"/>
  <c r="E159" i="17"/>
  <c r="E147" i="17"/>
  <c r="E135" i="17"/>
  <c r="E123" i="17"/>
  <c r="E107" i="17"/>
  <c r="E95" i="17"/>
  <c r="E79" i="17"/>
  <c r="H79" i="17" s="1"/>
  <c r="O79" i="17" s="1"/>
  <c r="P79" i="17" s="1"/>
  <c r="E63" i="17"/>
  <c r="E47" i="17"/>
  <c r="E188" i="17"/>
  <c r="E184" i="17"/>
  <c r="E180" i="17"/>
  <c r="E176" i="17"/>
  <c r="E172" i="17"/>
  <c r="E168" i="17"/>
  <c r="E164" i="17"/>
  <c r="E160" i="17"/>
  <c r="E156" i="17"/>
  <c r="E152" i="17"/>
  <c r="E148" i="17"/>
  <c r="E144" i="17"/>
  <c r="E140" i="17"/>
  <c r="E136" i="17"/>
  <c r="E132" i="17"/>
  <c r="E128" i="17"/>
  <c r="H128" i="17" s="1"/>
  <c r="E124" i="17"/>
  <c r="E120" i="17"/>
  <c r="E116" i="17"/>
  <c r="E112" i="17"/>
  <c r="E108" i="17"/>
  <c r="E104" i="17"/>
  <c r="E100" i="17"/>
  <c r="E96" i="17"/>
  <c r="E92" i="17"/>
  <c r="E88" i="17"/>
  <c r="E84" i="17"/>
  <c r="E80" i="17"/>
  <c r="H80" i="17" s="1"/>
  <c r="E76" i="17"/>
  <c r="E72" i="17"/>
  <c r="E68" i="17"/>
  <c r="E64" i="17"/>
  <c r="E60" i="17"/>
  <c r="E56" i="17"/>
  <c r="E52" i="17"/>
  <c r="E48" i="17"/>
  <c r="E44" i="17"/>
  <c r="E40" i="17"/>
  <c r="E32" i="17"/>
  <c r="E28" i="17"/>
  <c r="H28" i="17" s="1"/>
  <c r="O28" i="17" s="1"/>
  <c r="P28" i="17" s="1"/>
  <c r="E24" i="17"/>
  <c r="H24" i="17" s="1"/>
  <c r="O24" i="17" s="1"/>
  <c r="P24" i="17" s="1"/>
  <c r="E20" i="17"/>
  <c r="H20" i="17" s="1"/>
  <c r="L115" i="17"/>
  <c r="L177" i="17"/>
  <c r="L175" i="17"/>
  <c r="L176" i="17"/>
  <c r="F47" i="26" l="1"/>
  <c r="F27" i="26"/>
  <c r="F7" i="26"/>
  <c r="J20" i="17"/>
  <c r="M20" i="17"/>
  <c r="K25" i="17"/>
  <c r="M25" i="17"/>
  <c r="J25" i="17"/>
  <c r="I115" i="17"/>
  <c r="M115" i="17"/>
  <c r="I20" i="17"/>
  <c r="M175" i="17"/>
  <c r="I25" i="17"/>
  <c r="M176" i="17"/>
  <c r="M177" i="17"/>
  <c r="I176" i="17"/>
  <c r="K176" i="17"/>
  <c r="J38" i="17"/>
  <c r="K20" i="17"/>
  <c r="K175" i="17"/>
  <c r="I177" i="17"/>
  <c r="J175" i="17"/>
  <c r="I175" i="17"/>
  <c r="K177" i="17"/>
  <c r="J29" i="17"/>
  <c r="M138" i="17"/>
  <c r="L138" i="17"/>
  <c r="L29" i="17"/>
  <c r="G27" i="26" l="1"/>
  <c r="G47" i="26"/>
  <c r="G7" i="26"/>
  <c r="J115" i="17"/>
  <c r="K115" i="17"/>
  <c r="O25" i="17"/>
  <c r="P25" i="17" s="1"/>
  <c r="O175" i="17"/>
  <c r="Q175" i="17" s="1"/>
  <c r="R175" i="17" s="1"/>
  <c r="S175" i="17" s="1"/>
  <c r="O20" i="17"/>
  <c r="P20" i="17" s="1"/>
  <c r="I29" i="17"/>
  <c r="M38" i="17"/>
  <c r="J138" i="17"/>
  <c r="M29" i="17"/>
  <c r="I38" i="17"/>
  <c r="I138" i="17"/>
  <c r="I30" i="17"/>
  <c r="K30" i="17"/>
  <c r="K29" i="17"/>
  <c r="K138" i="17"/>
  <c r="K38" i="17"/>
  <c r="J30" i="17"/>
  <c r="M30" i="17"/>
  <c r="O115" i="17" l="1"/>
  <c r="P115" i="17" s="1"/>
  <c r="T175" i="17"/>
  <c r="U175" i="17"/>
  <c r="O138" i="17"/>
  <c r="P138" i="17" s="1"/>
  <c r="P175" i="17"/>
  <c r="O29" i="17"/>
  <c r="P29" i="17" s="1"/>
  <c r="O30" i="17"/>
  <c r="Q30" i="17" s="1"/>
  <c r="R30" i="17" s="1"/>
  <c r="T30" i="17" s="1"/>
  <c r="H16" i="12"/>
  <c r="F15" i="12"/>
  <c r="G15" i="12" s="1"/>
  <c r="U30" i="17" l="1"/>
  <c r="S30" i="17"/>
  <c r="P30" i="17"/>
  <c r="D75" i="6"/>
  <c r="E75" i="6" s="1"/>
  <c r="E9" i="6" l="1"/>
  <c r="C13" i="6"/>
  <c r="E13" i="6" s="1"/>
  <c r="C14" i="6"/>
  <c r="E14" i="6" s="1"/>
  <c r="C18" i="6"/>
  <c r="E18" i="6" s="1"/>
  <c r="C19" i="6"/>
  <c r="E19" i="6" s="1"/>
  <c r="C22" i="6"/>
  <c r="E22" i="6" s="1"/>
  <c r="C23" i="6"/>
  <c r="E23" i="6" s="1"/>
  <c r="C24" i="6"/>
  <c r="E24" i="6" s="1"/>
  <c r="E27" i="6"/>
  <c r="C31" i="6"/>
  <c r="E31" i="6" s="1"/>
  <c r="C32" i="6"/>
  <c r="E32" i="6" s="1"/>
  <c r="C73" i="6"/>
  <c r="E73" i="6" s="1"/>
  <c r="C74" i="6"/>
  <c r="E74" i="6" s="1"/>
  <c r="C108" i="6"/>
  <c r="E108" i="6" s="1"/>
  <c r="C109" i="6"/>
  <c r="E109" i="6" s="1"/>
  <c r="C121" i="6"/>
  <c r="E121" i="6" s="1"/>
  <c r="C122" i="6"/>
  <c r="E122" i="6" s="1"/>
  <c r="C127" i="6"/>
  <c r="E127" i="6" s="1"/>
  <c r="C128" i="6"/>
  <c r="E128" i="6" s="1"/>
  <c r="C131" i="6"/>
  <c r="E131" i="6" s="1"/>
  <c r="C132" i="6"/>
  <c r="E132" i="6" s="1"/>
  <c r="C167" i="6"/>
  <c r="E167" i="6" s="1"/>
  <c r="C168" i="6"/>
  <c r="E168" i="6" s="1"/>
  <c r="C169" i="6"/>
  <c r="E169" i="6" s="1"/>
  <c r="C183" i="6"/>
  <c r="E183" i="6" s="1"/>
  <c r="E183" i="9"/>
  <c r="C13" i="9"/>
  <c r="E13" i="9" s="1"/>
  <c r="C14" i="9"/>
  <c r="E14" i="9" s="1"/>
  <c r="C18" i="9"/>
  <c r="E18" i="9" s="1"/>
  <c r="C19" i="9"/>
  <c r="E19" i="9" s="1"/>
  <c r="C22" i="9"/>
  <c r="E22" i="9" s="1"/>
  <c r="C23" i="9"/>
  <c r="E23" i="9" s="1"/>
  <c r="C24" i="9"/>
  <c r="E24" i="9" s="1"/>
  <c r="C31" i="9"/>
  <c r="E31" i="9" s="1"/>
  <c r="C32" i="9"/>
  <c r="E32" i="9" s="1"/>
  <c r="C73" i="9"/>
  <c r="E73" i="9" s="1"/>
  <c r="C74" i="9"/>
  <c r="E74" i="9" s="1"/>
  <c r="C108" i="9"/>
  <c r="E108" i="9" s="1"/>
  <c r="C109" i="9"/>
  <c r="E109" i="9" s="1"/>
  <c r="C121" i="9"/>
  <c r="E121" i="9" s="1"/>
  <c r="C122" i="9"/>
  <c r="E122" i="9" s="1"/>
  <c r="C127" i="9"/>
  <c r="E127" i="9" s="1"/>
  <c r="C128" i="9"/>
  <c r="E128" i="9" s="1"/>
  <c r="C131" i="9"/>
  <c r="E131" i="9" s="1"/>
  <c r="C132" i="9"/>
  <c r="E132" i="9" s="1"/>
  <c r="C167" i="9"/>
  <c r="E167" i="9" s="1"/>
  <c r="C168" i="9"/>
  <c r="E168" i="9" s="1"/>
  <c r="C169" i="9"/>
  <c r="E169" i="9" s="1"/>
  <c r="D21" i="17" l="1"/>
  <c r="H21" i="17" s="1"/>
  <c r="D22" i="17"/>
  <c r="H22" i="17" s="1"/>
  <c r="F30" i="1"/>
  <c r="D26" i="33" s="1"/>
  <c r="H26" i="33" s="1"/>
  <c r="D32" i="17"/>
  <c r="H32" i="17" s="1"/>
  <c r="F35" i="1"/>
  <c r="D39" i="17"/>
  <c r="H39" i="17" s="1"/>
  <c r="F43" i="1"/>
  <c r="D37" i="33" s="1"/>
  <c r="H37" i="33" s="1"/>
  <c r="F44" i="1"/>
  <c r="D38" i="33" s="1"/>
  <c r="H38" i="33" s="1"/>
  <c r="F45" i="1"/>
  <c r="D39" i="33" s="1"/>
  <c r="H39" i="33" s="1"/>
  <c r="F46" i="1"/>
  <c r="D40" i="33" s="1"/>
  <c r="H40" i="33" s="1"/>
  <c r="F47" i="1"/>
  <c r="D41" i="33" s="1"/>
  <c r="H41" i="33" s="1"/>
  <c r="F48" i="1"/>
  <c r="D42" i="33" s="1"/>
  <c r="H42" i="33" s="1"/>
  <c r="F49" i="1"/>
  <c r="D43" i="33" s="1"/>
  <c r="H43" i="33" s="1"/>
  <c r="F50" i="1"/>
  <c r="D44" i="33" s="1"/>
  <c r="H44" i="33" s="1"/>
  <c r="F51" i="1"/>
  <c r="D45" i="33" s="1"/>
  <c r="H45" i="33" s="1"/>
  <c r="F52" i="1"/>
  <c r="D46" i="33" s="1"/>
  <c r="H46" i="33" s="1"/>
  <c r="F53" i="1"/>
  <c r="D47" i="33" s="1"/>
  <c r="H47" i="33" s="1"/>
  <c r="F54" i="1"/>
  <c r="D48" i="33" s="1"/>
  <c r="H48" i="33" s="1"/>
  <c r="F55" i="1"/>
  <c r="D49" i="33" s="1"/>
  <c r="H49" i="33" s="1"/>
  <c r="F56" i="1"/>
  <c r="D50" i="33" s="1"/>
  <c r="H50" i="33" s="1"/>
  <c r="F57" i="1"/>
  <c r="D51" i="33" s="1"/>
  <c r="H51" i="33" s="1"/>
  <c r="F58" i="1"/>
  <c r="D52" i="33" s="1"/>
  <c r="H52" i="33" s="1"/>
  <c r="F59" i="1"/>
  <c r="D53" i="33" s="1"/>
  <c r="H53" i="33" s="1"/>
  <c r="F60" i="1"/>
  <c r="D54" i="33" s="1"/>
  <c r="F61" i="1"/>
  <c r="D55" i="33" s="1"/>
  <c r="H55" i="33" s="1"/>
  <c r="F62" i="1"/>
  <c r="D56" i="33" s="1"/>
  <c r="H56" i="33" s="1"/>
  <c r="F63" i="1"/>
  <c r="D57" i="33" s="1"/>
  <c r="H57" i="33" s="1"/>
  <c r="F64" i="1"/>
  <c r="D58" i="33" s="1"/>
  <c r="H58" i="33" s="1"/>
  <c r="F65" i="1"/>
  <c r="D59" i="33" s="1"/>
  <c r="H59" i="33" s="1"/>
  <c r="F66" i="1"/>
  <c r="D60" i="33" s="1"/>
  <c r="H60" i="33" s="1"/>
  <c r="F67" i="1"/>
  <c r="D61" i="33" s="1"/>
  <c r="H61" i="33" s="1"/>
  <c r="F68" i="1"/>
  <c r="D62" i="33" s="1"/>
  <c r="H62" i="33" s="1"/>
  <c r="F69" i="1"/>
  <c r="D63" i="33" s="1"/>
  <c r="H63" i="33" s="1"/>
  <c r="F70" i="1"/>
  <c r="D64" i="33" s="1"/>
  <c r="H64" i="33" s="1"/>
  <c r="F71" i="1"/>
  <c r="D65" i="33" s="1"/>
  <c r="H65" i="33" s="1"/>
  <c r="F72" i="1"/>
  <c r="D66" i="33" s="1"/>
  <c r="H66" i="33" s="1"/>
  <c r="F73" i="1"/>
  <c r="D67" i="33" s="1"/>
  <c r="H67" i="33" s="1"/>
  <c r="F74" i="1"/>
  <c r="D68" i="33" s="1"/>
  <c r="H68" i="33" s="1"/>
  <c r="F75" i="1"/>
  <c r="D69" i="33" s="1"/>
  <c r="H69" i="33" s="1"/>
  <c r="F76" i="1"/>
  <c r="D70" i="33" s="1"/>
  <c r="H70" i="33" s="1"/>
  <c r="F77" i="1"/>
  <c r="D71" i="33" s="1"/>
  <c r="H71" i="33" s="1"/>
  <c r="F78" i="1"/>
  <c r="D72" i="33" s="1"/>
  <c r="H72" i="33" s="1"/>
  <c r="F79" i="1"/>
  <c r="D73" i="33" s="1"/>
  <c r="H73" i="33" s="1"/>
  <c r="F80" i="1"/>
  <c r="D74" i="33" s="1"/>
  <c r="H74" i="33" s="1"/>
  <c r="F81" i="1"/>
  <c r="D75" i="33" s="1"/>
  <c r="H75" i="33" s="1"/>
  <c r="F84" i="1"/>
  <c r="D78" i="33" s="1"/>
  <c r="H78" i="33" s="1"/>
  <c r="D82" i="17"/>
  <c r="H82" i="17" s="1"/>
  <c r="D85" i="17"/>
  <c r="H85" i="17" s="1"/>
  <c r="D86" i="17"/>
  <c r="H86" i="17" s="1"/>
  <c r="D87" i="17"/>
  <c r="H87" i="17" s="1"/>
  <c r="D90" i="17"/>
  <c r="H90" i="17" s="1"/>
  <c r="D91" i="17"/>
  <c r="H91" i="17" s="1"/>
  <c r="D92" i="17"/>
  <c r="H92" i="17" s="1"/>
  <c r="D93" i="17"/>
  <c r="H93" i="17" s="1"/>
  <c r="D94" i="17"/>
  <c r="H94" i="17" s="1"/>
  <c r="D95" i="17"/>
  <c r="H95" i="17" s="1"/>
  <c r="D96" i="17"/>
  <c r="H96" i="17" s="1"/>
  <c r="D97" i="17"/>
  <c r="H97" i="17" s="1"/>
  <c r="D98" i="17"/>
  <c r="H98" i="17" s="1"/>
  <c r="D99" i="17"/>
  <c r="H99" i="17" s="1"/>
  <c r="D100" i="17"/>
  <c r="H100" i="17" s="1"/>
  <c r="D101" i="17"/>
  <c r="H101" i="17" s="1"/>
  <c r="D102" i="17"/>
  <c r="H102" i="17" s="1"/>
  <c r="D103" i="17"/>
  <c r="H103" i="17" s="1"/>
  <c r="D104" i="17"/>
  <c r="H104" i="17" s="1"/>
  <c r="D105" i="17"/>
  <c r="H105" i="17" s="1"/>
  <c r="F122" i="1"/>
  <c r="D114" i="33" s="1"/>
  <c r="H114" i="33" s="1"/>
  <c r="F123" i="1"/>
  <c r="D115" i="33" s="1"/>
  <c r="H115" i="33" s="1"/>
  <c r="F124" i="1"/>
  <c r="D116" i="33" s="1"/>
  <c r="H116" i="33" s="1"/>
  <c r="F125" i="1"/>
  <c r="D117" i="33" s="1"/>
  <c r="H117" i="33" s="1"/>
  <c r="F126" i="1"/>
  <c r="D118" i="33" s="1"/>
  <c r="H118" i="33" s="1"/>
  <c r="F127" i="1"/>
  <c r="D119" i="33" s="1"/>
  <c r="H119" i="33" s="1"/>
  <c r="F128" i="1"/>
  <c r="D120" i="33" s="1"/>
  <c r="H120" i="33" s="1"/>
  <c r="F129" i="1"/>
  <c r="D121" i="33" s="1"/>
  <c r="H121" i="33" s="1"/>
  <c r="F130" i="1"/>
  <c r="D122" i="33" s="1"/>
  <c r="H122" i="33" s="1"/>
  <c r="F131" i="1"/>
  <c r="D123" i="33" s="1"/>
  <c r="H123" i="33" s="1"/>
  <c r="F134" i="1"/>
  <c r="D126" i="33" s="1"/>
  <c r="H126" i="33" s="1"/>
  <c r="F135" i="1"/>
  <c r="D127" i="33" s="1"/>
  <c r="H127" i="33" s="1"/>
  <c r="F136" i="1"/>
  <c r="D128" i="33" s="1"/>
  <c r="H128" i="33" s="1"/>
  <c r="F137" i="1"/>
  <c r="D129" i="33" s="1"/>
  <c r="H129" i="33" s="1"/>
  <c r="D135" i="17"/>
  <c r="H135" i="17" s="1"/>
  <c r="F145" i="1"/>
  <c r="D137" i="33" s="1"/>
  <c r="H137" i="33" s="1"/>
  <c r="F146" i="1"/>
  <c r="D138" i="33" s="1"/>
  <c r="H138" i="33" s="1"/>
  <c r="F147" i="1"/>
  <c r="D139" i="33" s="1"/>
  <c r="H139" i="33" s="1"/>
  <c r="F148" i="1"/>
  <c r="D140" i="33" s="1"/>
  <c r="H140" i="33" s="1"/>
  <c r="F149" i="1"/>
  <c r="D141" i="33" s="1"/>
  <c r="H141" i="33" s="1"/>
  <c r="F150" i="1"/>
  <c r="D142" i="33" s="1"/>
  <c r="H142" i="33" s="1"/>
  <c r="F151" i="1"/>
  <c r="D143" i="33" s="1"/>
  <c r="H143" i="33" s="1"/>
  <c r="F152" i="1"/>
  <c r="D144" i="33" s="1"/>
  <c r="H144" i="33" s="1"/>
  <c r="F153" i="1"/>
  <c r="D145" i="33" s="1"/>
  <c r="H145" i="33" s="1"/>
  <c r="F154" i="1"/>
  <c r="D146" i="33" s="1"/>
  <c r="H146" i="33" s="1"/>
  <c r="F155" i="1"/>
  <c r="D147" i="33" s="1"/>
  <c r="H147" i="33" s="1"/>
  <c r="F156" i="1"/>
  <c r="D148" i="33" s="1"/>
  <c r="H148" i="33" s="1"/>
  <c r="F157" i="1"/>
  <c r="D149" i="33" s="1"/>
  <c r="H149" i="33" s="1"/>
  <c r="F158" i="1"/>
  <c r="D150" i="33" s="1"/>
  <c r="H150" i="33" s="1"/>
  <c r="F159" i="1"/>
  <c r="D151" i="33" s="1"/>
  <c r="H151" i="33" s="1"/>
  <c r="F160" i="1"/>
  <c r="D152" i="33" s="1"/>
  <c r="H152" i="33" s="1"/>
  <c r="F161" i="1"/>
  <c r="D153" i="33" s="1"/>
  <c r="H153" i="33" s="1"/>
  <c r="F162" i="1"/>
  <c r="D154" i="33" s="1"/>
  <c r="H154" i="33" s="1"/>
  <c r="F163" i="1"/>
  <c r="D155" i="33" s="1"/>
  <c r="H155" i="33" s="1"/>
  <c r="F164" i="1"/>
  <c r="D156" i="33" s="1"/>
  <c r="H156" i="33" s="1"/>
  <c r="F165" i="1"/>
  <c r="D157" i="33" s="1"/>
  <c r="H157" i="33" s="1"/>
  <c r="F166" i="1"/>
  <c r="D158" i="33" s="1"/>
  <c r="H158" i="33" s="1"/>
  <c r="F167" i="1"/>
  <c r="D159" i="33" s="1"/>
  <c r="H159" i="33" s="1"/>
  <c r="F168" i="1"/>
  <c r="D160" i="33" s="1"/>
  <c r="H160" i="33" s="1"/>
  <c r="F169" i="1"/>
  <c r="D161" i="33" s="1"/>
  <c r="H161" i="33" s="1"/>
  <c r="F170" i="1"/>
  <c r="D162" i="33" s="1"/>
  <c r="H162" i="33" s="1"/>
  <c r="F171" i="1"/>
  <c r="D163" i="33" s="1"/>
  <c r="H163" i="33" s="1"/>
  <c r="F172" i="1"/>
  <c r="D164" i="33" s="1"/>
  <c r="H164" i="33" s="1"/>
  <c r="F173" i="1"/>
  <c r="D165" i="33" s="1"/>
  <c r="H165" i="33" s="1"/>
  <c r="F174" i="1"/>
  <c r="D166" i="33" s="1"/>
  <c r="H166" i="33" s="1"/>
  <c r="F175" i="1"/>
  <c r="D167" i="33" s="1"/>
  <c r="H167" i="33" s="1"/>
  <c r="F176" i="1"/>
  <c r="D168" i="33" s="1"/>
  <c r="H168" i="33" s="1"/>
  <c r="F177" i="1"/>
  <c r="D169" i="33" s="1"/>
  <c r="H169" i="33" s="1"/>
  <c r="F181" i="1"/>
  <c r="D173" i="33" s="1"/>
  <c r="H173" i="33" s="1"/>
  <c r="F183" i="1"/>
  <c r="D175" i="33" s="1"/>
  <c r="H175" i="33" s="1"/>
  <c r="F184" i="1"/>
  <c r="D176" i="33" s="1"/>
  <c r="H176" i="33" s="1"/>
  <c r="F185" i="1"/>
  <c r="D177" i="33" s="1"/>
  <c r="H177" i="33" s="1"/>
  <c r="F186" i="1"/>
  <c r="D178" i="33" s="1"/>
  <c r="H178" i="33" s="1"/>
  <c r="F187" i="1"/>
  <c r="D179" i="33" s="1"/>
  <c r="H179" i="33" s="1"/>
  <c r="F188" i="1"/>
  <c r="D192" i="16" s="1"/>
  <c r="F189" i="1"/>
  <c r="D181" i="33" s="1"/>
  <c r="H181" i="33" s="1"/>
  <c r="F190" i="1"/>
  <c r="D182" i="33" s="1"/>
  <c r="H182" i="33" s="1"/>
  <c r="F191" i="1"/>
  <c r="D183" i="33" s="1"/>
  <c r="H183" i="33" s="1"/>
  <c r="F192" i="1"/>
  <c r="D184" i="33" s="1"/>
  <c r="H184" i="33" s="1"/>
  <c r="F193" i="1"/>
  <c r="D185" i="33" s="1"/>
  <c r="H185" i="33" s="1"/>
  <c r="D31" i="33" l="1"/>
  <c r="H31" i="33" s="1"/>
  <c r="H31" i="32"/>
  <c r="L31" i="33" s="1"/>
  <c r="H54" i="33"/>
  <c r="D78" i="11"/>
  <c r="H78" i="11" s="1"/>
  <c r="G78" i="24" s="1"/>
  <c r="D78" i="32" s="1"/>
  <c r="D113" i="11"/>
  <c r="H113" i="11" s="1"/>
  <c r="G113" i="24" s="1"/>
  <c r="D194" i="16"/>
  <c r="D190" i="16"/>
  <c r="D197" i="16"/>
  <c r="D189" i="16"/>
  <c r="D188" i="16"/>
  <c r="D193" i="16"/>
  <c r="D196" i="16"/>
  <c r="D195" i="16"/>
  <c r="D191" i="16"/>
  <c r="D179" i="11"/>
  <c r="H179" i="11" s="1"/>
  <c r="G179" i="24" s="1"/>
  <c r="D179" i="32" s="1"/>
  <c r="J179" i="32" s="1"/>
  <c r="D163" i="17"/>
  <c r="H163" i="17" s="1"/>
  <c r="D160" i="11"/>
  <c r="H160" i="11" s="1"/>
  <c r="G160" i="24" s="1"/>
  <c r="D160" i="32" s="1"/>
  <c r="D172" i="16"/>
  <c r="D120" i="11"/>
  <c r="D132" i="16"/>
  <c r="D90" i="16"/>
  <c r="H90" i="16" s="1"/>
  <c r="D182" i="11"/>
  <c r="H182" i="11" s="1"/>
  <c r="G182" i="24" s="1"/>
  <c r="D182" i="32" s="1"/>
  <c r="J182" i="32" s="1"/>
  <c r="D166" i="17"/>
  <c r="H166" i="17" s="1"/>
  <c r="D163" i="11"/>
  <c r="H163" i="11" s="1"/>
  <c r="G163" i="24" s="1"/>
  <c r="D163" i="32" s="1"/>
  <c r="D175" i="16"/>
  <c r="D158" i="17"/>
  <c r="H158" i="17" s="1"/>
  <c r="D155" i="11"/>
  <c r="H155" i="11" s="1"/>
  <c r="G155" i="24" s="1"/>
  <c r="D155" i="32" s="1"/>
  <c r="D167" i="16"/>
  <c r="D150" i="17"/>
  <c r="H150" i="17" s="1"/>
  <c r="D147" i="11"/>
  <c r="H147" i="11" s="1"/>
  <c r="G147" i="24" s="1"/>
  <c r="D159" i="16"/>
  <c r="D142" i="17"/>
  <c r="H142" i="17" s="1"/>
  <c r="D139" i="11"/>
  <c r="H139" i="11" s="1"/>
  <c r="G139" i="24" s="1"/>
  <c r="D139" i="32" s="1"/>
  <c r="D151" i="16"/>
  <c r="D119" i="11"/>
  <c r="D131" i="16"/>
  <c r="D75" i="11"/>
  <c r="H75" i="11" s="1"/>
  <c r="G75" i="24" s="1"/>
  <c r="D75" i="32" s="1"/>
  <c r="D87" i="16"/>
  <c r="D185" i="11"/>
  <c r="H185" i="11" s="1"/>
  <c r="G185" i="24" s="1"/>
  <c r="D185" i="32" s="1"/>
  <c r="J185" i="32" s="1"/>
  <c r="D181" i="11"/>
  <c r="H181" i="11" s="1"/>
  <c r="G181" i="24" s="1"/>
  <c r="D181" i="32" s="1"/>
  <c r="J181" i="32" s="1"/>
  <c r="D177" i="11"/>
  <c r="H177" i="11" s="1"/>
  <c r="G177" i="24" s="1"/>
  <c r="D177" i="32" s="1"/>
  <c r="J177" i="32" s="1"/>
  <c r="D176" i="17"/>
  <c r="H176" i="17" s="1"/>
  <c r="O176" i="17" s="1"/>
  <c r="Q176" i="17" s="1"/>
  <c r="R176" i="17" s="1"/>
  <c r="D173" i="11"/>
  <c r="H173" i="11" s="1"/>
  <c r="G173" i="24" s="1"/>
  <c r="D173" i="32" s="1"/>
  <c r="J173" i="32" s="1"/>
  <c r="D185" i="16"/>
  <c r="D169" i="17"/>
  <c r="H169" i="17" s="1"/>
  <c r="D166" i="11"/>
  <c r="H166" i="11" s="1"/>
  <c r="G166" i="24" s="1"/>
  <c r="D166" i="32" s="1"/>
  <c r="D178" i="16"/>
  <c r="D165" i="17"/>
  <c r="H165" i="17" s="1"/>
  <c r="D162" i="11"/>
  <c r="H162" i="11" s="1"/>
  <c r="G162" i="24" s="1"/>
  <c r="D162" i="32" s="1"/>
  <c r="D174" i="16"/>
  <c r="D161" i="17"/>
  <c r="H161" i="17" s="1"/>
  <c r="D158" i="11"/>
  <c r="H158" i="11" s="1"/>
  <c r="G158" i="24" s="1"/>
  <c r="D158" i="32" s="1"/>
  <c r="D170" i="16"/>
  <c r="D157" i="17"/>
  <c r="H157" i="17" s="1"/>
  <c r="D154" i="11"/>
  <c r="H154" i="11" s="1"/>
  <c r="G154" i="24" s="1"/>
  <c r="D154" i="32" s="1"/>
  <c r="D166" i="16"/>
  <c r="D153" i="17"/>
  <c r="H153" i="17" s="1"/>
  <c r="D150" i="11"/>
  <c r="H150" i="11" s="1"/>
  <c r="G150" i="24" s="1"/>
  <c r="D162" i="16"/>
  <c r="D149" i="17"/>
  <c r="H149" i="17" s="1"/>
  <c r="D146" i="11"/>
  <c r="H146" i="11" s="1"/>
  <c r="G146" i="24" s="1"/>
  <c r="D158" i="16"/>
  <c r="D145" i="17"/>
  <c r="H145" i="17" s="1"/>
  <c r="D142" i="11"/>
  <c r="H142" i="11" s="1"/>
  <c r="G142" i="24" s="1"/>
  <c r="D142" i="32" s="1"/>
  <c r="D154" i="16"/>
  <c r="D138" i="11"/>
  <c r="H138" i="11" s="1"/>
  <c r="G138" i="24" s="1"/>
  <c r="D138" i="32" s="1"/>
  <c r="D150" i="16"/>
  <c r="D128" i="11"/>
  <c r="H128" i="11" s="1"/>
  <c r="G128" i="24" s="1"/>
  <c r="D140" i="16"/>
  <c r="D122" i="11"/>
  <c r="D134" i="16"/>
  <c r="D118" i="11"/>
  <c r="D130" i="16"/>
  <c r="D114" i="11"/>
  <c r="D126" i="16"/>
  <c r="D183" i="11"/>
  <c r="H183" i="11" s="1"/>
  <c r="G183" i="24" s="1"/>
  <c r="D183" i="32" s="1"/>
  <c r="J183" i="32" s="1"/>
  <c r="D175" i="11"/>
  <c r="H175" i="11" s="1"/>
  <c r="G175" i="24" s="1"/>
  <c r="D175" i="32" s="1"/>
  <c r="D187" i="16"/>
  <c r="D171" i="17"/>
  <c r="H171" i="17" s="1"/>
  <c r="D168" i="11"/>
  <c r="H168" i="11" s="1"/>
  <c r="G168" i="24" s="1"/>
  <c r="D168" i="32" s="1"/>
  <c r="D180" i="16"/>
  <c r="D167" i="17"/>
  <c r="H167" i="17" s="1"/>
  <c r="D164" i="11"/>
  <c r="H164" i="11" s="1"/>
  <c r="G164" i="24" s="1"/>
  <c r="D164" i="32" s="1"/>
  <c r="D176" i="16"/>
  <c r="D159" i="17"/>
  <c r="H159" i="17" s="1"/>
  <c r="D156" i="11"/>
  <c r="H156" i="11" s="1"/>
  <c r="G156" i="24" s="1"/>
  <c r="D156" i="32" s="1"/>
  <c r="D168" i="16"/>
  <c r="D155" i="17"/>
  <c r="H155" i="17" s="1"/>
  <c r="D152" i="11"/>
  <c r="H152" i="11" s="1"/>
  <c r="G152" i="24" s="1"/>
  <c r="D164" i="16"/>
  <c r="D151" i="17"/>
  <c r="H151" i="17" s="1"/>
  <c r="D148" i="11"/>
  <c r="H148" i="11" s="1"/>
  <c r="G148" i="24" s="1"/>
  <c r="D160" i="16"/>
  <c r="D147" i="17"/>
  <c r="H147" i="17" s="1"/>
  <c r="D144" i="11"/>
  <c r="H144" i="11" s="1"/>
  <c r="G144" i="24" s="1"/>
  <c r="D144" i="32" s="1"/>
  <c r="D156" i="16"/>
  <c r="D143" i="17"/>
  <c r="H143" i="17" s="1"/>
  <c r="D140" i="11"/>
  <c r="H140" i="11" s="1"/>
  <c r="G140" i="24" s="1"/>
  <c r="D152" i="16"/>
  <c r="D126" i="11"/>
  <c r="H126" i="11" s="1"/>
  <c r="G126" i="24" s="1"/>
  <c r="D138" i="16"/>
  <c r="D116" i="11"/>
  <c r="D128" i="16"/>
  <c r="D178" i="11"/>
  <c r="H178" i="11" s="1"/>
  <c r="G178" i="24" s="1"/>
  <c r="D178" i="32" s="1"/>
  <c r="J178" i="32" s="1"/>
  <c r="D170" i="17"/>
  <c r="H170" i="17" s="1"/>
  <c r="D167" i="11"/>
  <c r="H167" i="11" s="1"/>
  <c r="G167" i="24" s="1"/>
  <c r="D167" i="32" s="1"/>
  <c r="D179" i="16"/>
  <c r="D162" i="17"/>
  <c r="H162" i="17" s="1"/>
  <c r="D159" i="11"/>
  <c r="H159" i="11" s="1"/>
  <c r="G159" i="24" s="1"/>
  <c r="D159" i="32" s="1"/>
  <c r="D171" i="16"/>
  <c r="D154" i="17"/>
  <c r="H154" i="17" s="1"/>
  <c r="D151" i="11"/>
  <c r="H151" i="11" s="1"/>
  <c r="G151" i="24" s="1"/>
  <c r="D163" i="16"/>
  <c r="D146" i="17"/>
  <c r="H146" i="17" s="1"/>
  <c r="D143" i="11"/>
  <c r="H143" i="11" s="1"/>
  <c r="G143" i="24" s="1"/>
  <c r="D143" i="32" s="1"/>
  <c r="D155" i="16"/>
  <c r="D129" i="11"/>
  <c r="H129" i="11" s="1"/>
  <c r="G129" i="24" s="1"/>
  <c r="D129" i="32" s="1"/>
  <c r="D141" i="16"/>
  <c r="D123" i="11"/>
  <c r="D135" i="16"/>
  <c r="D115" i="11"/>
  <c r="D127" i="16"/>
  <c r="D184" i="11"/>
  <c r="H184" i="11" s="1"/>
  <c r="G184" i="24" s="1"/>
  <c r="D184" i="32" s="1"/>
  <c r="J184" i="32" s="1"/>
  <c r="D176" i="11"/>
  <c r="H176" i="11" s="1"/>
  <c r="G176" i="24" s="1"/>
  <c r="D176" i="32" s="1"/>
  <c r="J176" i="32" s="1"/>
  <c r="D172" i="17"/>
  <c r="H172" i="17" s="1"/>
  <c r="D169" i="11"/>
  <c r="H169" i="11" s="1"/>
  <c r="G169" i="24" s="1"/>
  <c r="D169" i="32" s="1"/>
  <c r="D181" i="16"/>
  <c r="D168" i="17"/>
  <c r="H168" i="17" s="1"/>
  <c r="D165" i="11"/>
  <c r="H165" i="11" s="1"/>
  <c r="G165" i="24" s="1"/>
  <c r="D165" i="32" s="1"/>
  <c r="D177" i="16"/>
  <c r="D164" i="17"/>
  <c r="H164" i="17" s="1"/>
  <c r="D161" i="11"/>
  <c r="H161" i="11" s="1"/>
  <c r="G161" i="24" s="1"/>
  <c r="D161" i="32" s="1"/>
  <c r="D173" i="16"/>
  <c r="D160" i="17"/>
  <c r="H160" i="17" s="1"/>
  <c r="D157" i="11"/>
  <c r="H157" i="11" s="1"/>
  <c r="G157" i="24" s="1"/>
  <c r="D157" i="32" s="1"/>
  <c r="D169" i="16"/>
  <c r="D156" i="17"/>
  <c r="H156" i="17" s="1"/>
  <c r="D153" i="11"/>
  <c r="H153" i="11" s="1"/>
  <c r="G153" i="24" s="1"/>
  <c r="D153" i="32" s="1"/>
  <c r="D165" i="16"/>
  <c r="D152" i="17"/>
  <c r="H152" i="17" s="1"/>
  <c r="D149" i="11"/>
  <c r="H149" i="11" s="1"/>
  <c r="G149" i="24" s="1"/>
  <c r="D161" i="16"/>
  <c r="D148" i="17"/>
  <c r="H148" i="17" s="1"/>
  <c r="D145" i="11"/>
  <c r="H145" i="11" s="1"/>
  <c r="G145" i="24" s="1"/>
  <c r="D145" i="32" s="1"/>
  <c r="D157" i="16"/>
  <c r="D144" i="17"/>
  <c r="H144" i="17" s="1"/>
  <c r="D141" i="11"/>
  <c r="H141" i="11" s="1"/>
  <c r="G141" i="24" s="1"/>
  <c r="D153" i="16"/>
  <c r="D137" i="11"/>
  <c r="H137" i="11" s="1"/>
  <c r="G137" i="24" s="1"/>
  <c r="D137" i="32" s="1"/>
  <c r="D149" i="16"/>
  <c r="D127" i="11"/>
  <c r="H127" i="11" s="1"/>
  <c r="G127" i="24" s="1"/>
  <c r="D139" i="16"/>
  <c r="D121" i="11"/>
  <c r="D133" i="16"/>
  <c r="D117" i="11"/>
  <c r="D129" i="16"/>
  <c r="D72" i="11"/>
  <c r="H72" i="11" s="1"/>
  <c r="G72" i="24" s="1"/>
  <c r="D72" i="32" s="1"/>
  <c r="D84" i="16"/>
  <c r="D64" i="11"/>
  <c r="H64" i="11" s="1"/>
  <c r="G64" i="24" s="1"/>
  <c r="D64" i="32" s="1"/>
  <c r="D76" i="16"/>
  <c r="D56" i="11"/>
  <c r="H56" i="11" s="1"/>
  <c r="G56" i="24" s="1"/>
  <c r="D56" i="32" s="1"/>
  <c r="D68" i="16"/>
  <c r="D40" i="11"/>
  <c r="H40" i="11" s="1"/>
  <c r="G40" i="24" s="1"/>
  <c r="D40" i="32" s="1"/>
  <c r="D52" i="16"/>
  <c r="D71" i="11"/>
  <c r="H71" i="11" s="1"/>
  <c r="G71" i="24" s="1"/>
  <c r="D71" i="32" s="1"/>
  <c r="D83" i="16"/>
  <c r="D67" i="11"/>
  <c r="H67" i="11" s="1"/>
  <c r="G67" i="24" s="1"/>
  <c r="D67" i="32" s="1"/>
  <c r="D79" i="16"/>
  <c r="D63" i="11"/>
  <c r="H63" i="11" s="1"/>
  <c r="G63" i="24" s="1"/>
  <c r="D63" i="32" s="1"/>
  <c r="D75" i="16"/>
  <c r="D59" i="11"/>
  <c r="H59" i="11" s="1"/>
  <c r="G59" i="24" s="1"/>
  <c r="D59" i="32" s="1"/>
  <c r="D71" i="16"/>
  <c r="D55" i="11"/>
  <c r="H55" i="11" s="1"/>
  <c r="G55" i="24" s="1"/>
  <c r="D55" i="32" s="1"/>
  <c r="D67" i="16"/>
  <c r="D51" i="11"/>
  <c r="H51" i="11" s="1"/>
  <c r="G51" i="24" s="1"/>
  <c r="D51" i="32" s="1"/>
  <c r="D63" i="16"/>
  <c r="D47" i="11"/>
  <c r="H47" i="11" s="1"/>
  <c r="G47" i="24" s="1"/>
  <c r="D47" i="32" s="1"/>
  <c r="D59" i="16"/>
  <c r="D43" i="11"/>
  <c r="H43" i="11" s="1"/>
  <c r="G43" i="24" s="1"/>
  <c r="D43" i="32" s="1"/>
  <c r="D55" i="16"/>
  <c r="D39" i="11"/>
  <c r="H39" i="11" s="1"/>
  <c r="G39" i="24" s="1"/>
  <c r="D39" i="32" s="1"/>
  <c r="D51" i="16"/>
  <c r="D68" i="11"/>
  <c r="H68" i="11" s="1"/>
  <c r="G68" i="24" s="1"/>
  <c r="D68" i="32" s="1"/>
  <c r="D80" i="16"/>
  <c r="D60" i="11"/>
  <c r="H60" i="11" s="1"/>
  <c r="G60" i="24" s="1"/>
  <c r="D60" i="32" s="1"/>
  <c r="D72" i="16"/>
  <c r="D52" i="11"/>
  <c r="H52" i="11" s="1"/>
  <c r="G52" i="24" s="1"/>
  <c r="D64" i="16"/>
  <c r="D44" i="11"/>
  <c r="H44" i="11" s="1"/>
  <c r="G44" i="24" s="1"/>
  <c r="D44" i="32" s="1"/>
  <c r="D56" i="16"/>
  <c r="D74" i="11"/>
  <c r="H74" i="11" s="1"/>
  <c r="G74" i="24" s="1"/>
  <c r="D74" i="32" s="1"/>
  <c r="D86" i="16"/>
  <c r="D70" i="11"/>
  <c r="H70" i="11" s="1"/>
  <c r="G70" i="24" s="1"/>
  <c r="D70" i="32" s="1"/>
  <c r="D82" i="16"/>
  <c r="D66" i="11"/>
  <c r="H66" i="11" s="1"/>
  <c r="G66" i="24" s="1"/>
  <c r="D66" i="32" s="1"/>
  <c r="D78" i="16"/>
  <c r="D62" i="11"/>
  <c r="H62" i="11" s="1"/>
  <c r="G62" i="24" s="1"/>
  <c r="D62" i="32" s="1"/>
  <c r="D74" i="16"/>
  <c r="D58" i="11"/>
  <c r="H58" i="11" s="1"/>
  <c r="G58" i="24" s="1"/>
  <c r="D58" i="32" s="1"/>
  <c r="D70" i="16"/>
  <c r="D54" i="11"/>
  <c r="D66" i="16"/>
  <c r="D50" i="11"/>
  <c r="H50" i="11" s="1"/>
  <c r="G50" i="24" s="1"/>
  <c r="D50" i="32" s="1"/>
  <c r="D62" i="16"/>
  <c r="D46" i="11"/>
  <c r="H46" i="11" s="1"/>
  <c r="G46" i="24" s="1"/>
  <c r="D46" i="32" s="1"/>
  <c r="D58" i="16"/>
  <c r="D42" i="11"/>
  <c r="H42" i="11" s="1"/>
  <c r="G42" i="24" s="1"/>
  <c r="D42" i="32" s="1"/>
  <c r="D54" i="16"/>
  <c r="D38" i="11"/>
  <c r="H38" i="11" s="1"/>
  <c r="G38" i="24" s="1"/>
  <c r="D38" i="32" s="1"/>
  <c r="D50" i="16"/>
  <c r="D48" i="11"/>
  <c r="H48" i="11" s="1"/>
  <c r="G48" i="24" s="1"/>
  <c r="D48" i="32" s="1"/>
  <c r="D60" i="16"/>
  <c r="D73" i="11"/>
  <c r="H73" i="11" s="1"/>
  <c r="G73" i="24" s="1"/>
  <c r="D73" i="32" s="1"/>
  <c r="D85" i="16"/>
  <c r="D69" i="11"/>
  <c r="H69" i="11" s="1"/>
  <c r="G69" i="24" s="1"/>
  <c r="D69" i="32" s="1"/>
  <c r="D81" i="16"/>
  <c r="D65" i="11"/>
  <c r="H65" i="11" s="1"/>
  <c r="G65" i="24" s="1"/>
  <c r="D65" i="32" s="1"/>
  <c r="D77" i="16"/>
  <c r="D61" i="11"/>
  <c r="H61" i="11" s="1"/>
  <c r="G61" i="24" s="1"/>
  <c r="D61" i="32" s="1"/>
  <c r="D73" i="16"/>
  <c r="D57" i="11"/>
  <c r="H57" i="11" s="1"/>
  <c r="G57" i="24" s="1"/>
  <c r="D57" i="32" s="1"/>
  <c r="D69" i="16"/>
  <c r="D53" i="11"/>
  <c r="H53" i="11" s="1"/>
  <c r="G53" i="24" s="1"/>
  <c r="D53" i="32" s="1"/>
  <c r="D65" i="16"/>
  <c r="D49" i="11"/>
  <c r="H49" i="11" s="1"/>
  <c r="G49" i="24" s="1"/>
  <c r="D49" i="32" s="1"/>
  <c r="D61" i="16"/>
  <c r="D45" i="11"/>
  <c r="H45" i="11" s="1"/>
  <c r="G45" i="24" s="1"/>
  <c r="D45" i="32" s="1"/>
  <c r="D57" i="16"/>
  <c r="D41" i="11"/>
  <c r="H41" i="11" s="1"/>
  <c r="G41" i="24" s="1"/>
  <c r="D41" i="32" s="1"/>
  <c r="D53" i="16"/>
  <c r="D37" i="11"/>
  <c r="H37" i="11" s="1"/>
  <c r="G37" i="24" s="1"/>
  <c r="D37" i="32" s="1"/>
  <c r="D49" i="16"/>
  <c r="D31" i="11"/>
  <c r="H31" i="11" s="1"/>
  <c r="H41" i="16"/>
  <c r="D41" i="16"/>
  <c r="D26" i="11"/>
  <c r="H26" i="11" s="1"/>
  <c r="D36" i="16"/>
  <c r="D59" i="17"/>
  <c r="H59" i="17" s="1"/>
  <c r="D55" i="17"/>
  <c r="H55" i="17" s="1"/>
  <c r="D51" i="17"/>
  <c r="H51" i="17" s="1"/>
  <c r="D47" i="17"/>
  <c r="H47" i="17" s="1"/>
  <c r="D43" i="17"/>
  <c r="H43" i="17" s="1"/>
  <c r="D185" i="17"/>
  <c r="H185" i="17" s="1"/>
  <c r="D126" i="17"/>
  <c r="H126" i="17" s="1"/>
  <c r="D118" i="17"/>
  <c r="H118" i="17" s="1"/>
  <c r="D58" i="17"/>
  <c r="H58" i="17" s="1"/>
  <c r="D54" i="17"/>
  <c r="H54" i="17" s="1"/>
  <c r="D50" i="17"/>
  <c r="H50" i="17" s="1"/>
  <c r="D46" i="17"/>
  <c r="H46" i="17" s="1"/>
  <c r="D42" i="17"/>
  <c r="H42" i="17" s="1"/>
  <c r="D184" i="17"/>
  <c r="H184" i="17" s="1"/>
  <c r="D117" i="17"/>
  <c r="H117" i="17" s="1"/>
  <c r="D57" i="17"/>
  <c r="H57" i="17" s="1"/>
  <c r="D53" i="17"/>
  <c r="H53" i="17" s="1"/>
  <c r="D49" i="17"/>
  <c r="H49" i="17" s="1"/>
  <c r="D45" i="17"/>
  <c r="H45" i="17" s="1"/>
  <c r="D186" i="17"/>
  <c r="H186" i="17" s="1"/>
  <c r="D188" i="17"/>
  <c r="H188" i="17" s="1"/>
  <c r="D187" i="17"/>
  <c r="H187" i="17" s="1"/>
  <c r="D116" i="17"/>
  <c r="H116" i="17" s="1"/>
  <c r="D56" i="17"/>
  <c r="H56" i="17" s="1"/>
  <c r="D52" i="17"/>
  <c r="H52" i="17" s="1"/>
  <c r="D48" i="17"/>
  <c r="H48" i="17" s="1"/>
  <c r="D44" i="17"/>
  <c r="H44" i="17" s="1"/>
  <c r="D136" i="17"/>
  <c r="H136" i="17" s="1"/>
  <c r="D130" i="17"/>
  <c r="H130" i="17" s="1"/>
  <c r="D124" i="17"/>
  <c r="H124" i="17" s="1"/>
  <c r="D120" i="17"/>
  <c r="H120" i="17" s="1"/>
  <c r="D110" i="17"/>
  <c r="H110" i="17" s="1"/>
  <c r="D106" i="17"/>
  <c r="H106" i="17" s="1"/>
  <c r="D76" i="17"/>
  <c r="H76" i="17" s="1"/>
  <c r="D72" i="17"/>
  <c r="H72" i="17" s="1"/>
  <c r="D68" i="17"/>
  <c r="H68" i="17" s="1"/>
  <c r="D64" i="17"/>
  <c r="H64" i="17" s="1"/>
  <c r="D60" i="17"/>
  <c r="H60" i="17" s="1"/>
  <c r="D40" i="17"/>
  <c r="H40" i="17" s="1"/>
  <c r="D34" i="17"/>
  <c r="H34" i="17" s="1"/>
  <c r="D27" i="17"/>
  <c r="H27" i="17" s="1"/>
  <c r="D183" i="17"/>
  <c r="H183" i="17" s="1"/>
  <c r="D179" i="17"/>
  <c r="H179" i="17" s="1"/>
  <c r="D140" i="17"/>
  <c r="H140" i="17" s="1"/>
  <c r="D132" i="17"/>
  <c r="H132" i="17" s="1"/>
  <c r="D122" i="17"/>
  <c r="H122" i="17" s="1"/>
  <c r="D112" i="17"/>
  <c r="H112" i="17" s="1"/>
  <c r="D108" i="17"/>
  <c r="H108" i="17" s="1"/>
  <c r="D88" i="17"/>
  <c r="H88" i="17" s="1"/>
  <c r="D84" i="17"/>
  <c r="H84" i="17" s="1"/>
  <c r="D78" i="17"/>
  <c r="H78" i="17" s="1"/>
  <c r="D74" i="17"/>
  <c r="H74" i="17" s="1"/>
  <c r="D70" i="17"/>
  <c r="H70" i="17" s="1"/>
  <c r="D66" i="17"/>
  <c r="H66" i="17" s="1"/>
  <c r="D62" i="17"/>
  <c r="H62" i="17" s="1"/>
  <c r="D23" i="17"/>
  <c r="H23" i="17" s="1"/>
  <c r="D16" i="17"/>
  <c r="H16" i="17" s="1"/>
  <c r="D182" i="17"/>
  <c r="H182" i="17" s="1"/>
  <c r="D178" i="17"/>
  <c r="H178" i="17" s="1"/>
  <c r="D139" i="17"/>
  <c r="H139" i="17" s="1"/>
  <c r="D131" i="17"/>
  <c r="H131" i="17" s="1"/>
  <c r="D125" i="17"/>
  <c r="H125" i="17" s="1"/>
  <c r="D121" i="17"/>
  <c r="H121" i="17" s="1"/>
  <c r="D111" i="17"/>
  <c r="H111" i="17" s="1"/>
  <c r="D107" i="17"/>
  <c r="H107" i="17" s="1"/>
  <c r="D83" i="17"/>
  <c r="H83" i="17" s="1"/>
  <c r="D77" i="17"/>
  <c r="H77" i="17" s="1"/>
  <c r="D73" i="17"/>
  <c r="H73" i="17" s="1"/>
  <c r="D69" i="17"/>
  <c r="H69" i="17" s="1"/>
  <c r="D65" i="17"/>
  <c r="H65" i="17" s="1"/>
  <c r="D61" i="17"/>
  <c r="H61" i="17" s="1"/>
  <c r="D41" i="17"/>
  <c r="H41" i="17" s="1"/>
  <c r="D31" i="17"/>
  <c r="H31" i="17" s="1"/>
  <c r="D15" i="17"/>
  <c r="H15" i="17" s="1"/>
  <c r="D181" i="17"/>
  <c r="H181" i="17" s="1"/>
  <c r="D180" i="17"/>
  <c r="H180" i="17" s="1"/>
  <c r="D141" i="17"/>
  <c r="H141" i="17" s="1"/>
  <c r="D129" i="17"/>
  <c r="H129" i="17" s="1"/>
  <c r="D123" i="17"/>
  <c r="H123" i="17" s="1"/>
  <c r="D119" i="17"/>
  <c r="H119" i="17" s="1"/>
  <c r="D113" i="17"/>
  <c r="H113" i="17" s="1"/>
  <c r="D109" i="17"/>
  <c r="H109" i="17" s="1"/>
  <c r="D89" i="17"/>
  <c r="H89" i="17" s="1"/>
  <c r="D81" i="17"/>
  <c r="H81" i="17" s="1"/>
  <c r="D75" i="17"/>
  <c r="H75" i="17" s="1"/>
  <c r="D71" i="17"/>
  <c r="H71" i="17" s="1"/>
  <c r="D67" i="17"/>
  <c r="H67" i="17" s="1"/>
  <c r="D63" i="17"/>
  <c r="H63" i="17" s="1"/>
  <c r="D33" i="17"/>
  <c r="H33" i="17" s="1"/>
  <c r="D26" i="17"/>
  <c r="H26" i="17" s="1"/>
  <c r="D17" i="17"/>
  <c r="H17" i="17" s="1"/>
  <c r="C182" i="6"/>
  <c r="E182" i="6" s="1"/>
  <c r="C182" i="9"/>
  <c r="E182" i="9" s="1"/>
  <c r="C178" i="6"/>
  <c r="E178" i="6" s="1"/>
  <c r="C178" i="9"/>
  <c r="E178" i="9" s="1"/>
  <c r="C174" i="6"/>
  <c r="E174" i="6" s="1"/>
  <c r="C174" i="9"/>
  <c r="E174" i="9" s="1"/>
  <c r="C170" i="6"/>
  <c r="E170" i="6" s="1"/>
  <c r="C170" i="9"/>
  <c r="E170" i="9" s="1"/>
  <c r="C163" i="6"/>
  <c r="E163" i="6" s="1"/>
  <c r="C163" i="9"/>
  <c r="E163" i="9" s="1"/>
  <c r="C159" i="6"/>
  <c r="E159" i="6" s="1"/>
  <c r="C159" i="9"/>
  <c r="E159" i="9" s="1"/>
  <c r="C155" i="6"/>
  <c r="E155" i="6" s="1"/>
  <c r="C155" i="9"/>
  <c r="E155" i="9" s="1"/>
  <c r="C151" i="6"/>
  <c r="E151" i="6" s="1"/>
  <c r="C151" i="9"/>
  <c r="E151" i="9" s="1"/>
  <c r="C147" i="6"/>
  <c r="E147" i="6" s="1"/>
  <c r="C147" i="9"/>
  <c r="E147" i="9" s="1"/>
  <c r="C143" i="6"/>
  <c r="E143" i="6" s="1"/>
  <c r="C143" i="9"/>
  <c r="E143" i="9" s="1"/>
  <c r="C139" i="6"/>
  <c r="E139" i="6" s="1"/>
  <c r="C139" i="9"/>
  <c r="E139" i="9" s="1"/>
  <c r="C135" i="6"/>
  <c r="E135" i="6" s="1"/>
  <c r="C135" i="9"/>
  <c r="E135" i="9" s="1"/>
  <c r="C129" i="6"/>
  <c r="E129" i="6" s="1"/>
  <c r="C129" i="9"/>
  <c r="E129" i="9" s="1"/>
  <c r="C123" i="6"/>
  <c r="E123" i="6" s="1"/>
  <c r="C123" i="9"/>
  <c r="E123" i="9" s="1"/>
  <c r="C117" i="6"/>
  <c r="E117" i="6" s="1"/>
  <c r="C117" i="9"/>
  <c r="E117" i="9" s="1"/>
  <c r="C113" i="6"/>
  <c r="E113" i="6" s="1"/>
  <c r="C113" i="9"/>
  <c r="E113" i="9" s="1"/>
  <c r="C107" i="6"/>
  <c r="E107" i="6" s="1"/>
  <c r="C107" i="9"/>
  <c r="E107" i="9" s="1"/>
  <c r="C103" i="6"/>
  <c r="E103" i="6" s="1"/>
  <c r="C103" i="9"/>
  <c r="E103" i="9" s="1"/>
  <c r="C99" i="6"/>
  <c r="E99" i="6" s="1"/>
  <c r="C99" i="9"/>
  <c r="E99" i="9" s="1"/>
  <c r="C95" i="6"/>
  <c r="E95" i="6" s="1"/>
  <c r="C95" i="9"/>
  <c r="E95" i="9" s="1"/>
  <c r="C91" i="6"/>
  <c r="E91" i="6" s="1"/>
  <c r="C91" i="9"/>
  <c r="E91" i="9" s="1"/>
  <c r="C87" i="6"/>
  <c r="E87" i="6" s="1"/>
  <c r="C87" i="9"/>
  <c r="E87" i="9" s="1"/>
  <c r="C83" i="6"/>
  <c r="E83" i="6" s="1"/>
  <c r="C83" i="9"/>
  <c r="E83" i="9" s="1"/>
  <c r="C79" i="6"/>
  <c r="E79" i="6" s="1"/>
  <c r="C79" i="9"/>
  <c r="E79" i="9" s="1"/>
  <c r="C75" i="9"/>
  <c r="E75" i="9" s="1"/>
  <c r="C69" i="6"/>
  <c r="E69" i="6" s="1"/>
  <c r="C69" i="9"/>
  <c r="E69" i="9" s="1"/>
  <c r="C65" i="6"/>
  <c r="E65" i="6" s="1"/>
  <c r="C65" i="9"/>
  <c r="E65" i="9" s="1"/>
  <c r="C61" i="6"/>
  <c r="E61" i="6" s="1"/>
  <c r="C61" i="9"/>
  <c r="E61" i="9" s="1"/>
  <c r="C57" i="6"/>
  <c r="E57" i="6" s="1"/>
  <c r="C57" i="9"/>
  <c r="E57" i="9" s="1"/>
  <c r="C53" i="6"/>
  <c r="E53" i="6" s="1"/>
  <c r="C53" i="9"/>
  <c r="E53" i="9" s="1"/>
  <c r="C49" i="6"/>
  <c r="E49" i="6" s="1"/>
  <c r="C49" i="9"/>
  <c r="E49" i="9" s="1"/>
  <c r="C45" i="6"/>
  <c r="E45" i="6" s="1"/>
  <c r="C45" i="9"/>
  <c r="E45" i="9" s="1"/>
  <c r="C41" i="6"/>
  <c r="E41" i="6" s="1"/>
  <c r="C41" i="9"/>
  <c r="E41" i="9" s="1"/>
  <c r="C37" i="6"/>
  <c r="E37" i="6" s="1"/>
  <c r="C37" i="9"/>
  <c r="E37" i="9" s="1"/>
  <c r="C33" i="6"/>
  <c r="E33" i="6" s="1"/>
  <c r="C33" i="9"/>
  <c r="E33" i="9" s="1"/>
  <c r="C27" i="9"/>
  <c r="E27" i="9" s="1"/>
  <c r="C20" i="6"/>
  <c r="E20" i="6" s="1"/>
  <c r="C20" i="9"/>
  <c r="E20" i="9" s="1"/>
  <c r="C18" i="17"/>
  <c r="C11" i="6"/>
  <c r="E11" i="6" s="1"/>
  <c r="C11" i="9"/>
  <c r="E11" i="9" s="1"/>
  <c r="C181" i="6"/>
  <c r="E181" i="6" s="1"/>
  <c r="C181" i="9"/>
  <c r="E181" i="9" s="1"/>
  <c r="C177" i="6"/>
  <c r="E177" i="6" s="1"/>
  <c r="C177" i="9"/>
  <c r="E177" i="9" s="1"/>
  <c r="C173" i="6"/>
  <c r="E173" i="6" s="1"/>
  <c r="C173" i="9"/>
  <c r="E173" i="9" s="1"/>
  <c r="C166" i="6"/>
  <c r="E166" i="6" s="1"/>
  <c r="C166" i="9"/>
  <c r="E166" i="9" s="1"/>
  <c r="C162" i="6"/>
  <c r="E162" i="6" s="1"/>
  <c r="C162" i="9"/>
  <c r="E162" i="9" s="1"/>
  <c r="C158" i="6"/>
  <c r="E158" i="6" s="1"/>
  <c r="C158" i="9"/>
  <c r="E158" i="9" s="1"/>
  <c r="C154" i="6"/>
  <c r="E154" i="6" s="1"/>
  <c r="C154" i="9"/>
  <c r="E154" i="9" s="1"/>
  <c r="C150" i="6"/>
  <c r="E150" i="6" s="1"/>
  <c r="C150" i="9"/>
  <c r="E150" i="9" s="1"/>
  <c r="C146" i="6"/>
  <c r="E146" i="6" s="1"/>
  <c r="C146" i="9"/>
  <c r="E146" i="9" s="1"/>
  <c r="C142" i="6"/>
  <c r="E142" i="6" s="1"/>
  <c r="C142" i="9"/>
  <c r="E142" i="9" s="1"/>
  <c r="C138" i="6"/>
  <c r="E138" i="6" s="1"/>
  <c r="C138" i="9"/>
  <c r="E138" i="9" s="1"/>
  <c r="C134" i="6"/>
  <c r="E134" i="6" s="1"/>
  <c r="C134" i="9"/>
  <c r="E134" i="9" s="1"/>
  <c r="C126" i="6"/>
  <c r="E126" i="6" s="1"/>
  <c r="C126" i="9"/>
  <c r="E126" i="9" s="1"/>
  <c r="C120" i="6"/>
  <c r="E120" i="6" s="1"/>
  <c r="C120" i="9"/>
  <c r="E120" i="9" s="1"/>
  <c r="C116" i="6"/>
  <c r="E116" i="6" s="1"/>
  <c r="C116" i="9"/>
  <c r="E116" i="9" s="1"/>
  <c r="C112" i="6"/>
  <c r="E112" i="6" s="1"/>
  <c r="C112" i="9"/>
  <c r="E112" i="9" s="1"/>
  <c r="C106" i="6"/>
  <c r="E106" i="6" s="1"/>
  <c r="C106" i="9"/>
  <c r="E106" i="9" s="1"/>
  <c r="C102" i="6"/>
  <c r="E102" i="6" s="1"/>
  <c r="C102" i="9"/>
  <c r="E102" i="9" s="1"/>
  <c r="C98" i="6"/>
  <c r="E98" i="6" s="1"/>
  <c r="C98" i="9"/>
  <c r="E98" i="9" s="1"/>
  <c r="C94" i="6"/>
  <c r="E94" i="6" s="1"/>
  <c r="C94" i="9"/>
  <c r="E94" i="9" s="1"/>
  <c r="C90" i="6"/>
  <c r="E90" i="6" s="1"/>
  <c r="C90" i="9"/>
  <c r="E90" i="9" s="1"/>
  <c r="C86" i="6"/>
  <c r="E86" i="6" s="1"/>
  <c r="C86" i="9"/>
  <c r="E86" i="9" s="1"/>
  <c r="C82" i="6"/>
  <c r="E82" i="6" s="1"/>
  <c r="C82" i="9"/>
  <c r="E82" i="9" s="1"/>
  <c r="C78" i="6"/>
  <c r="E78" i="6" s="1"/>
  <c r="C78" i="9"/>
  <c r="E78" i="9" s="1"/>
  <c r="C72" i="6"/>
  <c r="E72" i="6" s="1"/>
  <c r="C72" i="9"/>
  <c r="E72" i="9" s="1"/>
  <c r="C68" i="6"/>
  <c r="E68" i="6" s="1"/>
  <c r="C68" i="9"/>
  <c r="E68" i="9" s="1"/>
  <c r="C64" i="6"/>
  <c r="E64" i="6" s="1"/>
  <c r="C64" i="9"/>
  <c r="E64" i="9" s="1"/>
  <c r="C60" i="6"/>
  <c r="E60" i="6" s="1"/>
  <c r="C60" i="9"/>
  <c r="E60" i="9" s="1"/>
  <c r="C56" i="6"/>
  <c r="E56" i="6" s="1"/>
  <c r="C56" i="9"/>
  <c r="E56" i="9" s="1"/>
  <c r="C52" i="6"/>
  <c r="E52" i="6" s="1"/>
  <c r="C52" i="9"/>
  <c r="E52" i="9" s="1"/>
  <c r="C48" i="6"/>
  <c r="E48" i="6" s="1"/>
  <c r="C48" i="9"/>
  <c r="E48" i="9" s="1"/>
  <c r="C44" i="6"/>
  <c r="E44" i="6" s="1"/>
  <c r="C44" i="9"/>
  <c r="E44" i="9" s="1"/>
  <c r="C40" i="6"/>
  <c r="E40" i="6" s="1"/>
  <c r="C40" i="9"/>
  <c r="E40" i="9" s="1"/>
  <c r="C36" i="6"/>
  <c r="E36" i="6" s="1"/>
  <c r="C36" i="9"/>
  <c r="E36" i="9" s="1"/>
  <c r="C26" i="6"/>
  <c r="E26" i="6" s="1"/>
  <c r="C26" i="9"/>
  <c r="E26" i="9" s="1"/>
  <c r="C17" i="6"/>
  <c r="E17" i="6" s="1"/>
  <c r="C17" i="9"/>
  <c r="E17" i="9" s="1"/>
  <c r="C10" i="6"/>
  <c r="E10" i="6" s="1"/>
  <c r="C10" i="9"/>
  <c r="E10" i="9" s="1"/>
  <c r="C180" i="6"/>
  <c r="E180" i="6" s="1"/>
  <c r="C180" i="9"/>
  <c r="E180" i="9" s="1"/>
  <c r="C176" i="6"/>
  <c r="E176" i="6" s="1"/>
  <c r="C176" i="9"/>
  <c r="E176" i="9" s="1"/>
  <c r="C172" i="6"/>
  <c r="E172" i="6" s="1"/>
  <c r="C172" i="9"/>
  <c r="E172" i="9" s="1"/>
  <c r="C165" i="6"/>
  <c r="E165" i="6" s="1"/>
  <c r="C165" i="9"/>
  <c r="E165" i="9" s="1"/>
  <c r="C161" i="6"/>
  <c r="E161" i="6" s="1"/>
  <c r="C161" i="9"/>
  <c r="E161" i="9" s="1"/>
  <c r="C157" i="6"/>
  <c r="E157" i="6" s="1"/>
  <c r="C157" i="9"/>
  <c r="E157" i="9" s="1"/>
  <c r="C153" i="6"/>
  <c r="E153" i="6" s="1"/>
  <c r="C153" i="9"/>
  <c r="E153" i="9" s="1"/>
  <c r="C149" i="6"/>
  <c r="E149" i="6" s="1"/>
  <c r="C149" i="9"/>
  <c r="E149" i="9" s="1"/>
  <c r="C145" i="6"/>
  <c r="E145" i="6" s="1"/>
  <c r="C145" i="9"/>
  <c r="E145" i="9" s="1"/>
  <c r="C141" i="6"/>
  <c r="E141" i="6" s="1"/>
  <c r="C141" i="9"/>
  <c r="E141" i="9" s="1"/>
  <c r="C137" i="6"/>
  <c r="E137" i="6" s="1"/>
  <c r="C137" i="9"/>
  <c r="E137" i="9" s="1"/>
  <c r="C133" i="6"/>
  <c r="E133" i="6" s="1"/>
  <c r="C133" i="9"/>
  <c r="E133" i="9" s="1"/>
  <c r="C125" i="6"/>
  <c r="E125" i="6" s="1"/>
  <c r="C125" i="9"/>
  <c r="E125" i="9" s="1"/>
  <c r="C119" i="6"/>
  <c r="E119" i="6" s="1"/>
  <c r="C119" i="9"/>
  <c r="E119" i="9" s="1"/>
  <c r="C115" i="6"/>
  <c r="E115" i="6" s="1"/>
  <c r="C115" i="9"/>
  <c r="E115" i="9" s="1"/>
  <c r="C111" i="6"/>
  <c r="E111" i="6" s="1"/>
  <c r="C111" i="9"/>
  <c r="E111" i="9" s="1"/>
  <c r="C105" i="6"/>
  <c r="E105" i="6" s="1"/>
  <c r="C105" i="9"/>
  <c r="E105" i="9" s="1"/>
  <c r="C101" i="6"/>
  <c r="E101" i="6" s="1"/>
  <c r="C101" i="9"/>
  <c r="E101" i="9" s="1"/>
  <c r="C97" i="6"/>
  <c r="E97" i="6" s="1"/>
  <c r="C97" i="9"/>
  <c r="E97" i="9" s="1"/>
  <c r="C93" i="6"/>
  <c r="E93" i="6" s="1"/>
  <c r="C93" i="9"/>
  <c r="E93" i="9" s="1"/>
  <c r="C89" i="6"/>
  <c r="E89" i="6" s="1"/>
  <c r="C89" i="9"/>
  <c r="E89" i="9" s="1"/>
  <c r="C85" i="6"/>
  <c r="E85" i="6" s="1"/>
  <c r="C85" i="9"/>
  <c r="E85" i="9" s="1"/>
  <c r="C81" i="6"/>
  <c r="E81" i="6" s="1"/>
  <c r="C81" i="9"/>
  <c r="E81" i="9" s="1"/>
  <c r="C77" i="6"/>
  <c r="E77" i="6" s="1"/>
  <c r="C77" i="9"/>
  <c r="E77" i="9" s="1"/>
  <c r="C71" i="6"/>
  <c r="E71" i="6" s="1"/>
  <c r="C71" i="9"/>
  <c r="E71" i="9" s="1"/>
  <c r="C67" i="6"/>
  <c r="E67" i="6" s="1"/>
  <c r="C67" i="9"/>
  <c r="E67" i="9" s="1"/>
  <c r="C63" i="6"/>
  <c r="E63" i="6" s="1"/>
  <c r="C63" i="9"/>
  <c r="E63" i="9" s="1"/>
  <c r="C59" i="6"/>
  <c r="E59" i="6" s="1"/>
  <c r="C59" i="9"/>
  <c r="E59" i="9" s="1"/>
  <c r="C55" i="6"/>
  <c r="E55" i="6" s="1"/>
  <c r="C55" i="9"/>
  <c r="E55" i="9" s="1"/>
  <c r="C51" i="6"/>
  <c r="E51" i="6" s="1"/>
  <c r="C51" i="9"/>
  <c r="E51" i="9" s="1"/>
  <c r="C47" i="6"/>
  <c r="E47" i="6" s="1"/>
  <c r="C47" i="9"/>
  <c r="E47" i="9" s="1"/>
  <c r="C43" i="6"/>
  <c r="E43" i="6" s="1"/>
  <c r="C43" i="9"/>
  <c r="E43" i="9" s="1"/>
  <c r="C39" i="6"/>
  <c r="E39" i="6" s="1"/>
  <c r="C39" i="9"/>
  <c r="E39" i="9" s="1"/>
  <c r="C35" i="6"/>
  <c r="E35" i="6" s="1"/>
  <c r="C35" i="9"/>
  <c r="E35" i="9" s="1"/>
  <c r="C25" i="6"/>
  <c r="E25" i="6" s="1"/>
  <c r="C25" i="9"/>
  <c r="E25" i="9" s="1"/>
  <c r="C16" i="6"/>
  <c r="E16" i="6" s="1"/>
  <c r="C16" i="9"/>
  <c r="E16" i="9" s="1"/>
  <c r="C9" i="9"/>
  <c r="E9" i="9" s="1"/>
  <c r="C7" i="6"/>
  <c r="E7" i="6" s="1"/>
  <c r="C7" i="8"/>
  <c r="E7" i="8" s="1"/>
  <c r="C7" i="9"/>
  <c r="E7" i="9" s="1"/>
  <c r="C179" i="6"/>
  <c r="E179" i="6" s="1"/>
  <c r="C179" i="9"/>
  <c r="E179" i="9" s="1"/>
  <c r="C175" i="6"/>
  <c r="E175" i="6" s="1"/>
  <c r="C175" i="9"/>
  <c r="E175" i="9" s="1"/>
  <c r="C164" i="6"/>
  <c r="E164" i="6" s="1"/>
  <c r="C164" i="9"/>
  <c r="E164" i="9" s="1"/>
  <c r="C160" i="6"/>
  <c r="E160" i="6" s="1"/>
  <c r="C160" i="9"/>
  <c r="E160" i="9" s="1"/>
  <c r="C156" i="6"/>
  <c r="E156" i="6" s="1"/>
  <c r="C156" i="9"/>
  <c r="E156" i="9" s="1"/>
  <c r="C152" i="6"/>
  <c r="E152" i="6" s="1"/>
  <c r="C152" i="9"/>
  <c r="E152" i="9" s="1"/>
  <c r="C148" i="6"/>
  <c r="E148" i="6" s="1"/>
  <c r="C148" i="9"/>
  <c r="E148" i="9" s="1"/>
  <c r="C144" i="6"/>
  <c r="E144" i="6" s="1"/>
  <c r="C144" i="9"/>
  <c r="E144" i="9" s="1"/>
  <c r="C140" i="6"/>
  <c r="E140" i="6" s="1"/>
  <c r="C140" i="9"/>
  <c r="E140" i="9" s="1"/>
  <c r="C136" i="6"/>
  <c r="E136" i="6" s="1"/>
  <c r="C136" i="9"/>
  <c r="E136" i="9" s="1"/>
  <c r="C130" i="6"/>
  <c r="E130" i="6" s="1"/>
  <c r="C130" i="9"/>
  <c r="E130" i="9" s="1"/>
  <c r="C124" i="6"/>
  <c r="E124" i="6" s="1"/>
  <c r="C124" i="9"/>
  <c r="E124" i="9" s="1"/>
  <c r="C118" i="6"/>
  <c r="E118" i="6" s="1"/>
  <c r="C118" i="9"/>
  <c r="E118" i="9" s="1"/>
  <c r="C114" i="6"/>
  <c r="E114" i="6" s="1"/>
  <c r="C114" i="9"/>
  <c r="E114" i="9" s="1"/>
  <c r="C110" i="6"/>
  <c r="E110" i="6" s="1"/>
  <c r="C110" i="9"/>
  <c r="E110" i="9" s="1"/>
  <c r="C104" i="6"/>
  <c r="E104" i="6" s="1"/>
  <c r="C104" i="9"/>
  <c r="E104" i="9" s="1"/>
  <c r="C100" i="6"/>
  <c r="E100" i="6" s="1"/>
  <c r="C100" i="9"/>
  <c r="E100" i="9" s="1"/>
  <c r="C96" i="6"/>
  <c r="E96" i="6" s="1"/>
  <c r="C96" i="9"/>
  <c r="E96" i="9" s="1"/>
  <c r="C92" i="6"/>
  <c r="E92" i="6" s="1"/>
  <c r="C92" i="9"/>
  <c r="E92" i="9" s="1"/>
  <c r="C88" i="6"/>
  <c r="E88" i="6" s="1"/>
  <c r="C88" i="9"/>
  <c r="E88" i="9" s="1"/>
  <c r="C84" i="6"/>
  <c r="E84" i="6" s="1"/>
  <c r="C84" i="9"/>
  <c r="E84" i="9" s="1"/>
  <c r="C80" i="6"/>
  <c r="E80" i="6" s="1"/>
  <c r="C80" i="9"/>
  <c r="E80" i="9" s="1"/>
  <c r="C76" i="6"/>
  <c r="E76" i="6" s="1"/>
  <c r="C76" i="9"/>
  <c r="E76" i="9" s="1"/>
  <c r="C70" i="6"/>
  <c r="E70" i="6" s="1"/>
  <c r="C70" i="9"/>
  <c r="E70" i="9" s="1"/>
  <c r="C66" i="6"/>
  <c r="E66" i="6" s="1"/>
  <c r="C66" i="9"/>
  <c r="E66" i="9" s="1"/>
  <c r="C62" i="6"/>
  <c r="E62" i="6" s="1"/>
  <c r="C62" i="9"/>
  <c r="E62" i="9" s="1"/>
  <c r="C58" i="6"/>
  <c r="E58" i="6" s="1"/>
  <c r="C58" i="9"/>
  <c r="E58" i="9" s="1"/>
  <c r="C54" i="6"/>
  <c r="E54" i="6" s="1"/>
  <c r="C54" i="9"/>
  <c r="E54" i="9" s="1"/>
  <c r="C50" i="6"/>
  <c r="E50" i="6" s="1"/>
  <c r="C50" i="9"/>
  <c r="E50" i="9" s="1"/>
  <c r="C46" i="6"/>
  <c r="E46" i="6" s="1"/>
  <c r="C46" i="9"/>
  <c r="E46" i="9" s="1"/>
  <c r="C42" i="6"/>
  <c r="E42" i="6" s="1"/>
  <c r="C42" i="9"/>
  <c r="E42" i="9" s="1"/>
  <c r="C38" i="6"/>
  <c r="E38" i="6" s="1"/>
  <c r="C38" i="9"/>
  <c r="E38" i="9" s="1"/>
  <c r="C34" i="6"/>
  <c r="E34" i="6" s="1"/>
  <c r="C34" i="9"/>
  <c r="E34" i="9" s="1"/>
  <c r="C28" i="6"/>
  <c r="E28" i="6" s="1"/>
  <c r="C28" i="9"/>
  <c r="E28" i="9" s="1"/>
  <c r="C21" i="6"/>
  <c r="E21" i="6" s="1"/>
  <c r="C21" i="9"/>
  <c r="E21" i="9" s="1"/>
  <c r="C15" i="6"/>
  <c r="E15" i="6" s="1"/>
  <c r="C15" i="9"/>
  <c r="E15" i="9" s="1"/>
  <c r="H175" i="32" l="1"/>
  <c r="J175" i="32" s="1"/>
  <c r="N175" i="33" s="1"/>
  <c r="O175" i="33" s="1"/>
  <c r="P175" i="33" s="1"/>
  <c r="D128" i="32"/>
  <c r="H128" i="24"/>
  <c r="I128" i="24" s="1"/>
  <c r="D141" i="32"/>
  <c r="H141" i="24"/>
  <c r="I141" i="24" s="1"/>
  <c r="H154" i="32"/>
  <c r="J154" i="32" s="1"/>
  <c r="N154" i="33" s="1"/>
  <c r="O154" i="33" s="1"/>
  <c r="P154" i="33" s="1"/>
  <c r="H145" i="32"/>
  <c r="J145" i="32" s="1"/>
  <c r="N145" i="33" s="1"/>
  <c r="O145" i="33" s="1"/>
  <c r="P145" i="33" s="1"/>
  <c r="H161" i="32"/>
  <c r="J161" i="32" s="1"/>
  <c r="N161" i="33" s="1"/>
  <c r="O161" i="33" s="1"/>
  <c r="P161" i="33" s="1"/>
  <c r="D151" i="32"/>
  <c r="H151" i="24"/>
  <c r="I151" i="24" s="1"/>
  <c r="D126" i="32"/>
  <c r="H126" i="24"/>
  <c r="I126" i="24" s="1"/>
  <c r="D148" i="32"/>
  <c r="H148" i="24"/>
  <c r="I148" i="24" s="1"/>
  <c r="H168" i="32"/>
  <c r="J168" i="32" s="1"/>
  <c r="N168" i="33" s="1"/>
  <c r="O168" i="33" s="1"/>
  <c r="P168" i="33" s="1"/>
  <c r="H142" i="32"/>
  <c r="J142" i="32" s="1"/>
  <c r="N142" i="33" s="1"/>
  <c r="O142" i="33" s="1"/>
  <c r="P142" i="33" s="1"/>
  <c r="H158" i="32"/>
  <c r="J158" i="32" s="1"/>
  <c r="N158" i="33" s="1"/>
  <c r="O158" i="33" s="1"/>
  <c r="P158" i="33" s="1"/>
  <c r="H163" i="32"/>
  <c r="J163" i="32" s="1"/>
  <c r="N163" i="33" s="1"/>
  <c r="O163" i="33" s="1"/>
  <c r="P163" i="33" s="1"/>
  <c r="D127" i="32"/>
  <c r="H127" i="24"/>
  <c r="I127" i="24" s="1"/>
  <c r="H157" i="32"/>
  <c r="J157" i="32" s="1"/>
  <c r="N157" i="33" s="1"/>
  <c r="O157" i="33" s="1"/>
  <c r="P157" i="33" s="1"/>
  <c r="H143" i="32"/>
  <c r="J143" i="32" s="1"/>
  <c r="N143" i="33" s="1"/>
  <c r="O143" i="33" s="1"/>
  <c r="P143" i="33" s="1"/>
  <c r="H144" i="32"/>
  <c r="J144" i="32" s="1"/>
  <c r="N144" i="33" s="1"/>
  <c r="O144" i="33" s="1"/>
  <c r="P144" i="33" s="1"/>
  <c r="H164" i="32"/>
  <c r="J164" i="32" s="1"/>
  <c r="N164" i="33" s="1"/>
  <c r="O164" i="33" s="1"/>
  <c r="P164" i="33" s="1"/>
  <c r="K173" i="32"/>
  <c r="N173" i="33"/>
  <c r="O173" i="33" s="1"/>
  <c r="P173" i="33" s="1"/>
  <c r="H155" i="32"/>
  <c r="J155" i="32" s="1"/>
  <c r="N155" i="33" s="1"/>
  <c r="O155" i="33" s="1"/>
  <c r="P155" i="33" s="1"/>
  <c r="H153" i="32"/>
  <c r="J153" i="32" s="1"/>
  <c r="N153" i="33" s="1"/>
  <c r="O153" i="33" s="1"/>
  <c r="P153" i="33" s="1"/>
  <c r="H169" i="32"/>
  <c r="J169" i="32" s="1"/>
  <c r="N169" i="33" s="1"/>
  <c r="O169" i="33" s="1"/>
  <c r="P169" i="33" s="1"/>
  <c r="H167" i="32"/>
  <c r="J167" i="32" s="1"/>
  <c r="N167" i="33" s="1"/>
  <c r="O167" i="33" s="1"/>
  <c r="P167" i="33" s="1"/>
  <c r="D140" i="32"/>
  <c r="H140" i="24"/>
  <c r="I140" i="24" s="1"/>
  <c r="H156" i="32"/>
  <c r="J156" i="32" s="1"/>
  <c r="N156" i="33" s="1"/>
  <c r="O156" i="33" s="1"/>
  <c r="P156" i="33" s="1"/>
  <c r="H138" i="32"/>
  <c r="J138" i="32" s="1"/>
  <c r="N138" i="33" s="1"/>
  <c r="O138" i="33" s="1"/>
  <c r="P138" i="33" s="1"/>
  <c r="D150" i="32"/>
  <c r="H150" i="24"/>
  <c r="I150" i="24" s="1"/>
  <c r="H166" i="32"/>
  <c r="J166" i="32" s="1"/>
  <c r="N166" i="33" s="1"/>
  <c r="O166" i="33" s="1"/>
  <c r="P166" i="33" s="1"/>
  <c r="D147" i="32"/>
  <c r="H147" i="24"/>
  <c r="I147" i="24" s="1"/>
  <c r="H137" i="32"/>
  <c r="J137" i="32" s="1"/>
  <c r="N137" i="33" s="1"/>
  <c r="O137" i="33" s="1"/>
  <c r="P137" i="33" s="1"/>
  <c r="D149" i="32"/>
  <c r="H149" i="24"/>
  <c r="I149" i="24" s="1"/>
  <c r="H165" i="32"/>
  <c r="J165" i="32" s="1"/>
  <c r="N165" i="33" s="1"/>
  <c r="O165" i="33" s="1"/>
  <c r="P165" i="33" s="1"/>
  <c r="H129" i="32"/>
  <c r="J129" i="32" s="1"/>
  <c r="N129" i="33" s="1"/>
  <c r="O129" i="33" s="1"/>
  <c r="P129" i="33" s="1"/>
  <c r="H159" i="32"/>
  <c r="J159" i="32" s="1"/>
  <c r="N159" i="33" s="1"/>
  <c r="O159" i="33" s="1"/>
  <c r="P159" i="33" s="1"/>
  <c r="D152" i="32"/>
  <c r="H152" i="24"/>
  <c r="I152" i="24" s="1"/>
  <c r="D146" i="32"/>
  <c r="H146" i="24"/>
  <c r="I146" i="24" s="1"/>
  <c r="H162" i="32"/>
  <c r="J162" i="32" s="1"/>
  <c r="N162" i="33" s="1"/>
  <c r="O162" i="33" s="1"/>
  <c r="P162" i="33" s="1"/>
  <c r="H139" i="32"/>
  <c r="J139" i="32" s="1"/>
  <c r="N139" i="33" s="1"/>
  <c r="O139" i="33" s="1"/>
  <c r="P139" i="33" s="1"/>
  <c r="H160" i="32"/>
  <c r="J160" i="32" s="1"/>
  <c r="N160" i="33" s="1"/>
  <c r="O160" i="33" s="1"/>
  <c r="P160" i="33" s="1"/>
  <c r="K183" i="32"/>
  <c r="N183" i="33"/>
  <c r="O183" i="33" s="1"/>
  <c r="P183" i="33" s="1"/>
  <c r="H118" i="11"/>
  <c r="G118" i="24" s="1"/>
  <c r="K184" i="32"/>
  <c r="N184" i="33"/>
  <c r="O184" i="33" s="1"/>
  <c r="P184" i="33" s="1"/>
  <c r="N185" i="33"/>
  <c r="O185" i="33" s="1"/>
  <c r="P185" i="33" s="1"/>
  <c r="K185" i="32"/>
  <c r="H119" i="11"/>
  <c r="G119" i="24" s="1"/>
  <c r="H120" i="11"/>
  <c r="G120" i="24" s="1"/>
  <c r="H116" i="11"/>
  <c r="G116" i="24" s="1"/>
  <c r="H114" i="11"/>
  <c r="G114" i="24" s="1"/>
  <c r="H122" i="11"/>
  <c r="G122" i="24" s="1"/>
  <c r="N182" i="33"/>
  <c r="O182" i="33" s="1"/>
  <c r="P182" i="33" s="1"/>
  <c r="K182" i="32"/>
  <c r="H121" i="11"/>
  <c r="G121" i="24" s="1"/>
  <c r="H115" i="11"/>
  <c r="G115" i="24" s="1"/>
  <c r="H78" i="32"/>
  <c r="J78" i="32" s="1"/>
  <c r="N78" i="33" s="1"/>
  <c r="O78" i="33" s="1"/>
  <c r="P78" i="33" s="1"/>
  <c r="H45" i="32"/>
  <c r="J45" i="32" s="1"/>
  <c r="N45" i="33" s="1"/>
  <c r="O45" i="33" s="1"/>
  <c r="P45" i="33" s="1"/>
  <c r="H61" i="32"/>
  <c r="J61" i="32" s="1"/>
  <c r="N61" i="33" s="1"/>
  <c r="O61" i="33" s="1"/>
  <c r="P61" i="33" s="1"/>
  <c r="H48" i="32"/>
  <c r="J48" i="32" s="1"/>
  <c r="N48" i="33" s="1"/>
  <c r="O48" i="33" s="1"/>
  <c r="P48" i="33" s="1"/>
  <c r="H50" i="32"/>
  <c r="J50" i="32" s="1"/>
  <c r="N50" i="33" s="1"/>
  <c r="O50" i="33" s="1"/>
  <c r="P50" i="33" s="1"/>
  <c r="D52" i="32"/>
  <c r="H52" i="24"/>
  <c r="I52" i="24" s="1"/>
  <c r="H43" i="32"/>
  <c r="J43" i="32" s="1"/>
  <c r="N43" i="33" s="1"/>
  <c r="O43" i="33" s="1"/>
  <c r="P43" i="33" s="1"/>
  <c r="H59" i="32"/>
  <c r="J59" i="32" s="1"/>
  <c r="N59" i="33" s="1"/>
  <c r="O59" i="33" s="1"/>
  <c r="P59" i="33" s="1"/>
  <c r="H37" i="32"/>
  <c r="J37" i="32" s="1"/>
  <c r="N37" i="33" s="1"/>
  <c r="O37" i="33" s="1"/>
  <c r="P37" i="33" s="1"/>
  <c r="H53" i="32"/>
  <c r="J53" i="32" s="1"/>
  <c r="N53" i="33" s="1"/>
  <c r="O53" i="33" s="1"/>
  <c r="P53" i="33" s="1"/>
  <c r="H42" i="32"/>
  <c r="J42" i="32" s="1"/>
  <c r="N42" i="33" s="1"/>
  <c r="O42" i="33" s="1"/>
  <c r="P42" i="33" s="1"/>
  <c r="H58" i="32"/>
  <c r="J58" i="32" s="1"/>
  <c r="N58" i="33" s="1"/>
  <c r="O58" i="33" s="1"/>
  <c r="P58" i="33" s="1"/>
  <c r="H51" i="32"/>
  <c r="J51" i="32" s="1"/>
  <c r="N51" i="33" s="1"/>
  <c r="O51" i="33" s="1"/>
  <c r="P51" i="33" s="1"/>
  <c r="H40" i="32"/>
  <c r="J40" i="32" s="1"/>
  <c r="N40" i="33" s="1"/>
  <c r="O40" i="33" s="1"/>
  <c r="P40" i="33" s="1"/>
  <c r="H41" i="32"/>
  <c r="J41" i="32" s="1"/>
  <c r="N41" i="33" s="1"/>
  <c r="O41" i="33" s="1"/>
  <c r="P41" i="33" s="1"/>
  <c r="H49" i="32"/>
  <c r="J49" i="32" s="1"/>
  <c r="N49" i="33" s="1"/>
  <c r="O49" i="33" s="1"/>
  <c r="P49" i="33" s="1"/>
  <c r="H38" i="32"/>
  <c r="J38" i="32" s="1"/>
  <c r="N38" i="33" s="1"/>
  <c r="O38" i="33" s="1"/>
  <c r="P38" i="33" s="1"/>
  <c r="H46" i="32"/>
  <c r="J46" i="32" s="1"/>
  <c r="N46" i="33" s="1"/>
  <c r="O46" i="33" s="1"/>
  <c r="P46" i="33" s="1"/>
  <c r="H62" i="32"/>
  <c r="J62" i="32" s="1"/>
  <c r="N62" i="33" s="1"/>
  <c r="O62" i="33" s="1"/>
  <c r="P62" i="33" s="1"/>
  <c r="H70" i="32"/>
  <c r="J70" i="32" s="1"/>
  <c r="N70" i="33" s="1"/>
  <c r="O70" i="33" s="1"/>
  <c r="P70" i="33" s="1"/>
  <c r="H44" i="32"/>
  <c r="J44" i="32" s="1"/>
  <c r="N44" i="33" s="1"/>
  <c r="O44" i="33" s="1"/>
  <c r="P44" i="33" s="1"/>
  <c r="H39" i="32"/>
  <c r="J39" i="32" s="1"/>
  <c r="N39" i="33" s="1"/>
  <c r="O39" i="33" s="1"/>
  <c r="P39" i="33" s="1"/>
  <c r="H47" i="32"/>
  <c r="J47" i="32" s="1"/>
  <c r="N47" i="33" s="1"/>
  <c r="O47" i="33" s="1"/>
  <c r="P47" i="33" s="1"/>
  <c r="H55" i="32"/>
  <c r="J55" i="32" s="1"/>
  <c r="N55" i="33" s="1"/>
  <c r="O55" i="33" s="1"/>
  <c r="P55" i="33" s="1"/>
  <c r="H56" i="32"/>
  <c r="J56" i="32" s="1"/>
  <c r="N56" i="33" s="1"/>
  <c r="O56" i="33" s="1"/>
  <c r="P56" i="33" s="1"/>
  <c r="N179" i="33"/>
  <c r="O179" i="33" s="1"/>
  <c r="P179" i="33" s="1"/>
  <c r="K179" i="32"/>
  <c r="K178" i="32"/>
  <c r="N178" i="33"/>
  <c r="O178" i="33" s="1"/>
  <c r="P178" i="33" s="1"/>
  <c r="N177" i="33"/>
  <c r="O177" i="33" s="1"/>
  <c r="P177" i="33" s="1"/>
  <c r="K177" i="32"/>
  <c r="K176" i="32"/>
  <c r="N176" i="33"/>
  <c r="O176" i="33" s="1"/>
  <c r="P176" i="33" s="1"/>
  <c r="H117" i="11"/>
  <c r="G117" i="24" s="1"/>
  <c r="D113" i="32"/>
  <c r="H113" i="24"/>
  <c r="I113" i="24" s="1"/>
  <c r="H123" i="11"/>
  <c r="G123" i="24" s="1"/>
  <c r="N181" i="33"/>
  <c r="O181" i="33" s="1"/>
  <c r="P181" i="33" s="1"/>
  <c r="K181" i="32"/>
  <c r="H75" i="32"/>
  <c r="J75" i="32" s="1"/>
  <c r="N75" i="33" s="1"/>
  <c r="O75" i="33" s="1"/>
  <c r="P75" i="33" s="1"/>
  <c r="H74" i="32"/>
  <c r="J74" i="32" s="1"/>
  <c r="N74" i="33" s="1"/>
  <c r="O74" i="33" s="1"/>
  <c r="P74" i="33" s="1"/>
  <c r="H73" i="32"/>
  <c r="J73" i="32" s="1"/>
  <c r="N73" i="33" s="1"/>
  <c r="O73" i="33" s="1"/>
  <c r="P73" i="33" s="1"/>
  <c r="H71" i="32"/>
  <c r="J71" i="32" s="1"/>
  <c r="N71" i="33" s="1"/>
  <c r="O71" i="33" s="1"/>
  <c r="P71" i="33" s="1"/>
  <c r="H69" i="32"/>
  <c r="J69" i="32" s="1"/>
  <c r="N69" i="33" s="1"/>
  <c r="O69" i="33" s="1"/>
  <c r="P69" i="33" s="1"/>
  <c r="H68" i="32"/>
  <c r="J68" i="32" s="1"/>
  <c r="N68" i="33" s="1"/>
  <c r="O68" i="33" s="1"/>
  <c r="P68" i="33" s="1"/>
  <c r="H67" i="32"/>
  <c r="J67" i="32" s="1"/>
  <c r="N67" i="33" s="1"/>
  <c r="O67" i="33" s="1"/>
  <c r="P67" i="33" s="1"/>
  <c r="H72" i="32"/>
  <c r="J72" i="32" s="1"/>
  <c r="N72" i="33" s="1"/>
  <c r="O72" i="33" s="1"/>
  <c r="P72" i="33" s="1"/>
  <c r="H66" i="32"/>
  <c r="J66" i="32" s="1"/>
  <c r="N66" i="33" s="1"/>
  <c r="O66" i="33" s="1"/>
  <c r="P66" i="33" s="1"/>
  <c r="H65" i="32"/>
  <c r="J65" i="32" s="1"/>
  <c r="N65" i="33" s="1"/>
  <c r="O65" i="33" s="1"/>
  <c r="P65" i="33" s="1"/>
  <c r="H64" i="32"/>
  <c r="J64" i="32" s="1"/>
  <c r="N64" i="33" s="1"/>
  <c r="O64" i="33" s="1"/>
  <c r="P64" i="33" s="1"/>
  <c r="H63" i="32"/>
  <c r="J63" i="32" s="1"/>
  <c r="N63" i="33" s="1"/>
  <c r="O63" i="33" s="1"/>
  <c r="P63" i="33" s="1"/>
  <c r="H60" i="32"/>
  <c r="J60" i="32" s="1"/>
  <c r="N60" i="33" s="1"/>
  <c r="O60" i="33" s="1"/>
  <c r="P60" i="33" s="1"/>
  <c r="H57" i="32"/>
  <c r="J57" i="32" s="1"/>
  <c r="N57" i="33" s="1"/>
  <c r="O57" i="33" s="1"/>
  <c r="P57" i="33" s="1"/>
  <c r="H54" i="11"/>
  <c r="H80" i="24"/>
  <c r="I80" i="24" s="1"/>
  <c r="H79" i="24"/>
  <c r="I79" i="24" s="1"/>
  <c r="G31" i="24"/>
  <c r="D31" i="32" s="1"/>
  <c r="H135" i="24"/>
  <c r="I135" i="24" s="1"/>
  <c r="H171" i="24"/>
  <c r="I171" i="24" s="1"/>
  <c r="G26" i="24"/>
  <c r="D26" i="32" s="1"/>
  <c r="J26" i="32" s="1"/>
  <c r="H172" i="24"/>
  <c r="I172" i="24" s="1"/>
  <c r="H180" i="24"/>
  <c r="I180" i="24" s="1"/>
  <c r="H170" i="24"/>
  <c r="I170" i="24" s="1"/>
  <c r="H134" i="24"/>
  <c r="I134" i="24" s="1"/>
  <c r="P176" i="17"/>
  <c r="J194" i="16"/>
  <c r="J197" i="16"/>
  <c r="J189" i="16"/>
  <c r="J192" i="16"/>
  <c r="J191" i="16"/>
  <c r="J190" i="16"/>
  <c r="J188" i="16"/>
  <c r="J196" i="16"/>
  <c r="J193" i="16"/>
  <c r="J195" i="16"/>
  <c r="L31" i="11"/>
  <c r="H139" i="16"/>
  <c r="H156" i="16"/>
  <c r="H176" i="16"/>
  <c r="H154" i="16"/>
  <c r="H167" i="16"/>
  <c r="H165" i="16"/>
  <c r="H181" i="16"/>
  <c r="H127" i="16"/>
  <c r="H141" i="16"/>
  <c r="H171" i="16"/>
  <c r="H128" i="16"/>
  <c r="H152" i="16"/>
  <c r="H168" i="16"/>
  <c r="H166" i="16"/>
  <c r="H159" i="16"/>
  <c r="H132" i="16"/>
  <c r="H169" i="16"/>
  <c r="L181" i="17"/>
  <c r="H179" i="16"/>
  <c r="H130" i="16"/>
  <c r="H170" i="16"/>
  <c r="H131" i="16"/>
  <c r="H125" i="16"/>
  <c r="H133" i="16"/>
  <c r="H149" i="16"/>
  <c r="H161" i="16"/>
  <c r="H177" i="16"/>
  <c r="H163" i="16"/>
  <c r="H164" i="16"/>
  <c r="H187" i="16"/>
  <c r="H126" i="16"/>
  <c r="H134" i="16"/>
  <c r="H150" i="16"/>
  <c r="H162" i="16"/>
  <c r="H178" i="16"/>
  <c r="H87" i="16"/>
  <c r="H151" i="16"/>
  <c r="H129" i="16"/>
  <c r="H153" i="16"/>
  <c r="H140" i="16"/>
  <c r="F140" i="16"/>
  <c r="H157" i="16"/>
  <c r="H173" i="16"/>
  <c r="H135" i="16"/>
  <c r="H155" i="16"/>
  <c r="H138" i="16"/>
  <c r="F138" i="16"/>
  <c r="H160" i="16"/>
  <c r="H180" i="16"/>
  <c r="H158" i="16"/>
  <c r="H174" i="16"/>
  <c r="H175" i="16"/>
  <c r="H172" i="16"/>
  <c r="H49" i="16"/>
  <c r="H73" i="16"/>
  <c r="H70" i="16"/>
  <c r="H64" i="16"/>
  <c r="H63" i="16"/>
  <c r="H71" i="16"/>
  <c r="H79" i="16"/>
  <c r="H57" i="16"/>
  <c r="H60" i="16"/>
  <c r="H62" i="16"/>
  <c r="H78" i="16"/>
  <c r="H55" i="16"/>
  <c r="H52" i="16"/>
  <c r="H53" i="16"/>
  <c r="H61" i="16"/>
  <c r="H69" i="16"/>
  <c r="H77" i="16"/>
  <c r="H85" i="16"/>
  <c r="H50" i="16"/>
  <c r="H58" i="16"/>
  <c r="H66" i="16"/>
  <c r="H74" i="16"/>
  <c r="H82" i="16"/>
  <c r="H56" i="16"/>
  <c r="H72" i="16"/>
  <c r="H51" i="16"/>
  <c r="H59" i="16"/>
  <c r="H67" i="16"/>
  <c r="H75" i="16"/>
  <c r="H83" i="16"/>
  <c r="H68" i="16"/>
  <c r="H84" i="16"/>
  <c r="H65" i="16"/>
  <c r="H81" i="16"/>
  <c r="H54" i="16"/>
  <c r="H86" i="16"/>
  <c r="H80" i="16"/>
  <c r="H76" i="16"/>
  <c r="E41" i="16"/>
  <c r="L116" i="17"/>
  <c r="L117" i="17"/>
  <c r="L185" i="17"/>
  <c r="K40" i="17"/>
  <c r="K32" i="17"/>
  <c r="I84" i="17"/>
  <c r="M82" i="17"/>
  <c r="K41" i="17"/>
  <c r="I40" i="17"/>
  <c r="L41" i="17"/>
  <c r="L17" i="17"/>
  <c r="K17" i="17"/>
  <c r="I17" i="17"/>
  <c r="J17" i="17"/>
  <c r="M17" i="17"/>
  <c r="L81" i="17"/>
  <c r="L141" i="17"/>
  <c r="L107" i="17"/>
  <c r="L108" i="17"/>
  <c r="L34" i="17"/>
  <c r="L136" i="17"/>
  <c r="L40" i="17"/>
  <c r="L109" i="17"/>
  <c r="L129" i="17"/>
  <c r="T176" i="17"/>
  <c r="U176" i="17"/>
  <c r="S176" i="17"/>
  <c r="K31" i="17"/>
  <c r="I31" i="17"/>
  <c r="M31" i="17"/>
  <c r="L31" i="17"/>
  <c r="L106" i="17"/>
  <c r="L84" i="17"/>
  <c r="L26" i="17"/>
  <c r="I15" i="17"/>
  <c r="L15" i="17"/>
  <c r="K15" i="17"/>
  <c r="M15" i="17"/>
  <c r="L111" i="17"/>
  <c r="K16" i="17"/>
  <c r="J16" i="17"/>
  <c r="M16" i="17"/>
  <c r="L16" i="17"/>
  <c r="I16" i="17"/>
  <c r="L88" i="17"/>
  <c r="L112" i="17"/>
  <c r="L140" i="17"/>
  <c r="L130" i="17"/>
  <c r="L33" i="17"/>
  <c r="L23" i="17"/>
  <c r="L89" i="17"/>
  <c r="L113" i="17"/>
  <c r="L35" i="17"/>
  <c r="L139" i="17"/>
  <c r="I36" i="17"/>
  <c r="K36" i="17"/>
  <c r="L110" i="17"/>
  <c r="I13" i="17"/>
  <c r="L135" i="17"/>
  <c r="L101" i="17"/>
  <c r="L98" i="17"/>
  <c r="L90" i="17"/>
  <c r="L99" i="17"/>
  <c r="L96" i="17"/>
  <c r="L93" i="17"/>
  <c r="L92" i="17"/>
  <c r="L97" i="17"/>
  <c r="L105" i="17"/>
  <c r="L102" i="17"/>
  <c r="L100" i="17"/>
  <c r="L91" i="17"/>
  <c r="L94" i="17"/>
  <c r="L95" i="17"/>
  <c r="L103" i="17"/>
  <c r="L104" i="17"/>
  <c r="L86" i="17"/>
  <c r="L85" i="17"/>
  <c r="L82" i="17"/>
  <c r="L87" i="17"/>
  <c r="L39" i="17"/>
  <c r="L32" i="17"/>
  <c r="L21" i="17"/>
  <c r="L22" i="17"/>
  <c r="L13" i="17"/>
  <c r="J13" i="17"/>
  <c r="M13" i="17"/>
  <c r="K13" i="17"/>
  <c r="S175" i="33" l="1"/>
  <c r="Q175" i="33"/>
  <c r="R175" i="33"/>
  <c r="L175" i="33"/>
  <c r="K175" i="32"/>
  <c r="R160" i="33"/>
  <c r="Q160" i="33"/>
  <c r="S160" i="33"/>
  <c r="R162" i="33"/>
  <c r="S162" i="33"/>
  <c r="Q162" i="33"/>
  <c r="R129" i="33"/>
  <c r="Q129" i="33"/>
  <c r="S129" i="33"/>
  <c r="Q156" i="33"/>
  <c r="S156" i="33"/>
  <c r="R156" i="33"/>
  <c r="R167" i="33"/>
  <c r="Q167" i="33"/>
  <c r="S167" i="33"/>
  <c r="Q153" i="33"/>
  <c r="S153" i="33"/>
  <c r="R153" i="33"/>
  <c r="Q173" i="33"/>
  <c r="R173" i="33"/>
  <c r="S173" i="33"/>
  <c r="R144" i="33"/>
  <c r="Q144" i="33"/>
  <c r="S144" i="33"/>
  <c r="S157" i="33"/>
  <c r="R157" i="33"/>
  <c r="Q157" i="33"/>
  <c r="S163" i="33"/>
  <c r="Q163" i="33"/>
  <c r="R163" i="33"/>
  <c r="Q142" i="33"/>
  <c r="R142" i="33"/>
  <c r="S142" i="33"/>
  <c r="Q145" i="33"/>
  <c r="R145" i="33"/>
  <c r="S145" i="33"/>
  <c r="L160" i="33"/>
  <c r="K160" i="32"/>
  <c r="L162" i="33"/>
  <c r="K162" i="32"/>
  <c r="H152" i="32"/>
  <c r="J152" i="32" s="1"/>
  <c r="N152" i="33" s="1"/>
  <c r="O152" i="33" s="1"/>
  <c r="P152" i="33" s="1"/>
  <c r="L129" i="33"/>
  <c r="K129" i="32"/>
  <c r="H149" i="32"/>
  <c r="J149" i="32" s="1"/>
  <c r="N149" i="33" s="1"/>
  <c r="O149" i="33" s="1"/>
  <c r="P149" i="33" s="1"/>
  <c r="H147" i="32"/>
  <c r="J147" i="32" s="1"/>
  <c r="N147" i="33" s="1"/>
  <c r="O147" i="33" s="1"/>
  <c r="P147" i="33" s="1"/>
  <c r="H150" i="32"/>
  <c r="J150" i="32" s="1"/>
  <c r="N150" i="33" s="1"/>
  <c r="O150" i="33" s="1"/>
  <c r="P150" i="33" s="1"/>
  <c r="L156" i="33"/>
  <c r="K156" i="32"/>
  <c r="L167" i="33"/>
  <c r="K167" i="32"/>
  <c r="L153" i="33"/>
  <c r="K153" i="32"/>
  <c r="L144" i="33"/>
  <c r="K144" i="32"/>
  <c r="L157" i="33"/>
  <c r="K157" i="32"/>
  <c r="L163" i="33"/>
  <c r="K163" i="32"/>
  <c r="L142" i="33"/>
  <c r="K142" i="32"/>
  <c r="H148" i="32"/>
  <c r="J148" i="32" s="1"/>
  <c r="N148" i="33" s="1"/>
  <c r="O148" i="33" s="1"/>
  <c r="P148" i="33" s="1"/>
  <c r="H151" i="32"/>
  <c r="J151" i="32" s="1"/>
  <c r="N151" i="33" s="1"/>
  <c r="O151" i="33" s="1"/>
  <c r="P151" i="33" s="1"/>
  <c r="L145" i="33"/>
  <c r="K145" i="32"/>
  <c r="H141" i="32"/>
  <c r="J141" i="32" s="1"/>
  <c r="N141" i="33" s="1"/>
  <c r="O141" i="33" s="1"/>
  <c r="P141" i="33" s="1"/>
  <c r="Q139" i="33"/>
  <c r="S139" i="33"/>
  <c r="R139" i="33"/>
  <c r="Q159" i="33"/>
  <c r="R159" i="33"/>
  <c r="S159" i="33"/>
  <c r="R165" i="33"/>
  <c r="Q165" i="33"/>
  <c r="S165" i="33"/>
  <c r="S137" i="33"/>
  <c r="Q137" i="33"/>
  <c r="R137" i="33"/>
  <c r="Q166" i="33"/>
  <c r="S166" i="33"/>
  <c r="R166" i="33"/>
  <c r="S138" i="33"/>
  <c r="R138" i="33"/>
  <c r="Q138" i="33"/>
  <c r="S169" i="33"/>
  <c r="Q169" i="33"/>
  <c r="R169" i="33"/>
  <c r="Q155" i="33"/>
  <c r="R155" i="33"/>
  <c r="S155" i="33"/>
  <c r="S164" i="33"/>
  <c r="R164" i="33"/>
  <c r="Q164" i="33"/>
  <c r="S143" i="33"/>
  <c r="Q143" i="33"/>
  <c r="R143" i="33"/>
  <c r="S158" i="33"/>
  <c r="R158" i="33"/>
  <c r="Q158" i="33"/>
  <c r="Q168" i="33"/>
  <c r="R168" i="33"/>
  <c r="S168" i="33"/>
  <c r="R161" i="33"/>
  <c r="Q161" i="33"/>
  <c r="S161" i="33"/>
  <c r="R154" i="33"/>
  <c r="S154" i="33"/>
  <c r="Q154" i="33"/>
  <c r="L139" i="33"/>
  <c r="K139" i="32"/>
  <c r="H146" i="32"/>
  <c r="J146" i="32" s="1"/>
  <c r="N146" i="33" s="1"/>
  <c r="O146" i="33" s="1"/>
  <c r="P146" i="33" s="1"/>
  <c r="L159" i="33"/>
  <c r="K159" i="32"/>
  <c r="L165" i="33"/>
  <c r="K165" i="32"/>
  <c r="L137" i="33"/>
  <c r="K137" i="32"/>
  <c r="L166" i="33"/>
  <c r="K166" i="32"/>
  <c r="L138" i="33"/>
  <c r="K138" i="32"/>
  <c r="H140" i="32"/>
  <c r="J140" i="32" s="1"/>
  <c r="N140" i="33" s="1"/>
  <c r="O140" i="33" s="1"/>
  <c r="P140" i="33" s="1"/>
  <c r="L169" i="33"/>
  <c r="K169" i="32"/>
  <c r="L155" i="33"/>
  <c r="K155" i="32"/>
  <c r="L164" i="33"/>
  <c r="K164" i="32"/>
  <c r="L143" i="33"/>
  <c r="K143" i="32"/>
  <c r="H127" i="32"/>
  <c r="J127" i="32" s="1"/>
  <c r="N127" i="33" s="1"/>
  <c r="O127" i="33" s="1"/>
  <c r="P127" i="33" s="1"/>
  <c r="L158" i="33"/>
  <c r="K158" i="32"/>
  <c r="L168" i="33"/>
  <c r="K168" i="32"/>
  <c r="H126" i="32"/>
  <c r="L126" i="33" s="1"/>
  <c r="F126" i="32"/>
  <c r="L161" i="33"/>
  <c r="K161" i="32"/>
  <c r="L154" i="33"/>
  <c r="K154" i="32"/>
  <c r="F128" i="32"/>
  <c r="H128" i="32"/>
  <c r="L128" i="33" s="1"/>
  <c r="D115" i="32"/>
  <c r="H115" i="32" s="1"/>
  <c r="J115" i="32" s="1"/>
  <c r="N115" i="33" s="1"/>
  <c r="O115" i="33" s="1"/>
  <c r="P115" i="33" s="1"/>
  <c r="H115" i="24"/>
  <c r="I115" i="24" s="1"/>
  <c r="D122" i="32"/>
  <c r="H122" i="32" s="1"/>
  <c r="J122" i="32" s="1"/>
  <c r="H122" i="24"/>
  <c r="I122" i="24" s="1"/>
  <c r="D119" i="32"/>
  <c r="H119" i="32" s="1"/>
  <c r="J119" i="32" s="1"/>
  <c r="N119" i="33" s="1"/>
  <c r="O119" i="33" s="1"/>
  <c r="P119" i="33" s="1"/>
  <c r="H119" i="24"/>
  <c r="I119" i="24" s="1"/>
  <c r="D117" i="32"/>
  <c r="H117" i="32" s="1"/>
  <c r="J117" i="32" s="1"/>
  <c r="N117" i="33" s="1"/>
  <c r="O117" i="33" s="1"/>
  <c r="P117" i="33" s="1"/>
  <c r="H117" i="24"/>
  <c r="I117" i="24" s="1"/>
  <c r="H121" i="24"/>
  <c r="I121" i="24" s="1"/>
  <c r="D121" i="32"/>
  <c r="H121" i="32" s="1"/>
  <c r="J121" i="32" s="1"/>
  <c r="N121" i="33" s="1"/>
  <c r="O121" i="33" s="1"/>
  <c r="P121" i="33" s="1"/>
  <c r="D114" i="32"/>
  <c r="H114" i="32" s="1"/>
  <c r="J114" i="32" s="1"/>
  <c r="H114" i="24"/>
  <c r="I114" i="24" s="1"/>
  <c r="D118" i="32"/>
  <c r="H118" i="32" s="1"/>
  <c r="J118" i="32" s="1"/>
  <c r="N118" i="33" s="1"/>
  <c r="O118" i="33" s="1"/>
  <c r="P118" i="33" s="1"/>
  <c r="H118" i="24"/>
  <c r="I118" i="24" s="1"/>
  <c r="D116" i="32"/>
  <c r="H116" i="32" s="1"/>
  <c r="J116" i="32" s="1"/>
  <c r="H116" i="24"/>
  <c r="I116" i="24" s="1"/>
  <c r="D120" i="32"/>
  <c r="H120" i="32" s="1"/>
  <c r="J120" i="32" s="1"/>
  <c r="H120" i="24"/>
  <c r="I120" i="24" s="1"/>
  <c r="Q184" i="33"/>
  <c r="R184" i="33"/>
  <c r="S184" i="33"/>
  <c r="Q182" i="33"/>
  <c r="R182" i="33"/>
  <c r="S182" i="33"/>
  <c r="Q185" i="33"/>
  <c r="R185" i="33"/>
  <c r="S185" i="33"/>
  <c r="S183" i="33"/>
  <c r="Q183" i="33"/>
  <c r="R183" i="33"/>
  <c r="Q78" i="33"/>
  <c r="Q77" i="33" s="1"/>
  <c r="R78" i="33"/>
  <c r="R77" i="33" s="1"/>
  <c r="S78" i="33"/>
  <c r="S77" i="33" s="1"/>
  <c r="L78" i="33"/>
  <c r="K78" i="32"/>
  <c r="R50" i="33"/>
  <c r="Q50" i="33"/>
  <c r="S50" i="33"/>
  <c r="S56" i="33"/>
  <c r="R56" i="33"/>
  <c r="Q56" i="33"/>
  <c r="R47" i="33"/>
  <c r="Q47" i="33"/>
  <c r="S47" i="33"/>
  <c r="Q44" i="33"/>
  <c r="R44" i="33"/>
  <c r="S44" i="33"/>
  <c r="Q62" i="33"/>
  <c r="R62" i="33"/>
  <c r="S62" i="33"/>
  <c r="R38" i="33"/>
  <c r="S38" i="33"/>
  <c r="Q38" i="33"/>
  <c r="S41" i="33"/>
  <c r="Q41" i="33"/>
  <c r="R41" i="33"/>
  <c r="Q51" i="33"/>
  <c r="R51" i="33"/>
  <c r="S51" i="33"/>
  <c r="S42" i="33"/>
  <c r="R42" i="33"/>
  <c r="Q42" i="33"/>
  <c r="R37" i="33"/>
  <c r="S37" i="33"/>
  <c r="Q37" i="33"/>
  <c r="R43" i="33"/>
  <c r="Q43" i="33"/>
  <c r="S43" i="33"/>
  <c r="S61" i="33"/>
  <c r="Q61" i="33"/>
  <c r="R61" i="33"/>
  <c r="L56" i="33"/>
  <c r="K56" i="32"/>
  <c r="L47" i="33"/>
  <c r="K47" i="32"/>
  <c r="L44" i="33"/>
  <c r="K44" i="32"/>
  <c r="L62" i="33"/>
  <c r="K62" i="32"/>
  <c r="L38" i="33"/>
  <c r="K38" i="32"/>
  <c r="L41" i="33"/>
  <c r="K41" i="32"/>
  <c r="L51" i="33"/>
  <c r="K51" i="32"/>
  <c r="L42" i="33"/>
  <c r="K42" i="32"/>
  <c r="L37" i="33"/>
  <c r="K37" i="32"/>
  <c r="L43" i="33"/>
  <c r="K43" i="32"/>
  <c r="L50" i="33"/>
  <c r="K50" i="32"/>
  <c r="L61" i="33"/>
  <c r="K61" i="32"/>
  <c r="S55" i="33"/>
  <c r="Q55" i="33"/>
  <c r="R55" i="33"/>
  <c r="R39" i="33"/>
  <c r="Q39" i="33"/>
  <c r="S39" i="33"/>
  <c r="R70" i="33"/>
  <c r="S70" i="33"/>
  <c r="Q70" i="33"/>
  <c r="Q46" i="33"/>
  <c r="R46" i="33"/>
  <c r="S46" i="33"/>
  <c r="R49" i="33"/>
  <c r="S49" i="33"/>
  <c r="Q49" i="33"/>
  <c r="S40" i="33"/>
  <c r="Q40" i="33"/>
  <c r="R40" i="33"/>
  <c r="Q58" i="33"/>
  <c r="S58" i="33"/>
  <c r="R58" i="33"/>
  <c r="Q53" i="33"/>
  <c r="R53" i="33"/>
  <c r="S53" i="33"/>
  <c r="R59" i="33"/>
  <c r="Q59" i="33"/>
  <c r="S59" i="33"/>
  <c r="Q48" i="33"/>
  <c r="S48" i="33"/>
  <c r="R48" i="33"/>
  <c r="Q45" i="33"/>
  <c r="S45" i="33"/>
  <c r="R45" i="33"/>
  <c r="L55" i="33"/>
  <c r="K55" i="32"/>
  <c r="L39" i="33"/>
  <c r="K39" i="32"/>
  <c r="L70" i="33"/>
  <c r="K70" i="32"/>
  <c r="L46" i="33"/>
  <c r="K46" i="32"/>
  <c r="L49" i="33"/>
  <c r="K49" i="32"/>
  <c r="L40" i="33"/>
  <c r="K40" i="32"/>
  <c r="L58" i="33"/>
  <c r="K58" i="32"/>
  <c r="L53" i="33"/>
  <c r="K53" i="32"/>
  <c r="L59" i="33"/>
  <c r="K59" i="32"/>
  <c r="H52" i="32"/>
  <c r="L48" i="33"/>
  <c r="K48" i="32"/>
  <c r="L45" i="33"/>
  <c r="K45" i="32"/>
  <c r="E31" i="32"/>
  <c r="J31" i="32" s="1"/>
  <c r="N31" i="33" s="1"/>
  <c r="O31" i="33" s="1"/>
  <c r="P31" i="33" s="1"/>
  <c r="N26" i="33"/>
  <c r="O26" i="33" s="1"/>
  <c r="P26" i="33" s="1"/>
  <c r="K26" i="32"/>
  <c r="S179" i="33"/>
  <c r="Q179" i="33"/>
  <c r="R179" i="33"/>
  <c r="R178" i="33"/>
  <c r="S178" i="33"/>
  <c r="Q178" i="33"/>
  <c r="Q177" i="33"/>
  <c r="R177" i="33"/>
  <c r="S177" i="33"/>
  <c r="Q176" i="33"/>
  <c r="R176" i="33"/>
  <c r="S176" i="33"/>
  <c r="H123" i="24"/>
  <c r="I123" i="24" s="1"/>
  <c r="D123" i="32"/>
  <c r="H123" i="32" s="1"/>
  <c r="J123" i="32" s="1"/>
  <c r="R181" i="33"/>
  <c r="S181" i="33"/>
  <c r="Q181" i="33"/>
  <c r="H113" i="32"/>
  <c r="J113" i="32" s="1"/>
  <c r="N113" i="33" s="1"/>
  <c r="O113" i="33" s="1"/>
  <c r="P113" i="33" s="1"/>
  <c r="Q75" i="33"/>
  <c r="S75" i="33"/>
  <c r="R75" i="33"/>
  <c r="L75" i="33"/>
  <c r="K75" i="32"/>
  <c r="R74" i="33"/>
  <c r="Q74" i="33"/>
  <c r="S74" i="33"/>
  <c r="L74" i="33"/>
  <c r="K74" i="32"/>
  <c r="S73" i="33"/>
  <c r="Q73" i="33"/>
  <c r="R73" i="33"/>
  <c r="L73" i="33"/>
  <c r="K73" i="32"/>
  <c r="Q71" i="33"/>
  <c r="S71" i="33"/>
  <c r="R71" i="33"/>
  <c r="L71" i="33"/>
  <c r="K71" i="32"/>
  <c r="Q69" i="33"/>
  <c r="R69" i="33"/>
  <c r="S69" i="33"/>
  <c r="L69" i="33"/>
  <c r="K69" i="32"/>
  <c r="Q68" i="33"/>
  <c r="S68" i="33"/>
  <c r="R68" i="33"/>
  <c r="L68" i="33"/>
  <c r="K68" i="32"/>
  <c r="R67" i="33"/>
  <c r="S67" i="33"/>
  <c r="Q67" i="33"/>
  <c r="L67" i="33"/>
  <c r="K67" i="32"/>
  <c r="S72" i="33"/>
  <c r="R72" i="33"/>
  <c r="Q72" i="33"/>
  <c r="L72" i="33"/>
  <c r="K72" i="32"/>
  <c r="Q66" i="33"/>
  <c r="R66" i="33"/>
  <c r="S66" i="33"/>
  <c r="L66" i="33"/>
  <c r="K66" i="32"/>
  <c r="R65" i="33"/>
  <c r="S65" i="33"/>
  <c r="Q65" i="33"/>
  <c r="L65" i="33"/>
  <c r="K65" i="32"/>
  <c r="R64" i="33"/>
  <c r="S64" i="33"/>
  <c r="Q64" i="33"/>
  <c r="L64" i="33"/>
  <c r="K64" i="32"/>
  <c r="R63" i="33"/>
  <c r="Q63" i="33"/>
  <c r="S63" i="33"/>
  <c r="L63" i="33"/>
  <c r="K63" i="32"/>
  <c r="R60" i="33"/>
  <c r="Q60" i="33"/>
  <c r="S60" i="33"/>
  <c r="L60" i="33"/>
  <c r="K60" i="32"/>
  <c r="Q57" i="33"/>
  <c r="S57" i="33"/>
  <c r="R57" i="33"/>
  <c r="L57" i="33"/>
  <c r="K57" i="32"/>
  <c r="G54" i="24"/>
  <c r="D54" i="32" s="1"/>
  <c r="H176" i="24"/>
  <c r="I176" i="24" s="1"/>
  <c r="H182" i="24"/>
  <c r="I182" i="24" s="1"/>
  <c r="H166" i="24"/>
  <c r="I166" i="24" s="1"/>
  <c r="H138" i="24"/>
  <c r="I138" i="24" s="1"/>
  <c r="H156" i="24"/>
  <c r="I156" i="24" s="1"/>
  <c r="H169" i="24"/>
  <c r="I169" i="24" s="1"/>
  <c r="H159" i="24"/>
  <c r="I159" i="24" s="1"/>
  <c r="H157" i="24"/>
  <c r="I157" i="24" s="1"/>
  <c r="H133" i="24"/>
  <c r="I133" i="24" s="1"/>
  <c r="H89" i="24"/>
  <c r="I89" i="24" s="1"/>
  <c r="H71" i="24"/>
  <c r="I71" i="24" s="1"/>
  <c r="H44" i="24"/>
  <c r="I44" i="24" s="1"/>
  <c r="H38" i="24"/>
  <c r="I38" i="24" s="1"/>
  <c r="H65" i="24"/>
  <c r="I65" i="24" s="1"/>
  <c r="H56" i="24"/>
  <c r="I56" i="24" s="1"/>
  <c r="H75" i="24"/>
  <c r="I75" i="24" s="1"/>
  <c r="H86" i="24"/>
  <c r="I86" i="24" s="1"/>
  <c r="H92" i="24"/>
  <c r="I92" i="24" s="1"/>
  <c r="H74" i="24"/>
  <c r="I74" i="24" s="1"/>
  <c r="H48" i="24"/>
  <c r="I48" i="24" s="1"/>
  <c r="H61" i="24"/>
  <c r="I61" i="24" s="1"/>
  <c r="H178" i="24"/>
  <c r="I178" i="24" s="1"/>
  <c r="H181" i="24"/>
  <c r="I181" i="24" s="1"/>
  <c r="H163" i="24"/>
  <c r="I163" i="24" s="1"/>
  <c r="H183" i="24"/>
  <c r="I183" i="24" s="1"/>
  <c r="H179" i="24"/>
  <c r="I179" i="24" s="1"/>
  <c r="H161" i="24"/>
  <c r="I161" i="24" s="1"/>
  <c r="H39" i="24"/>
  <c r="I39" i="24" s="1"/>
  <c r="H60" i="24"/>
  <c r="I60" i="24" s="1"/>
  <c r="H78" i="24"/>
  <c r="I78" i="24" s="1"/>
  <c r="H46" i="24"/>
  <c r="I46" i="24" s="1"/>
  <c r="H83" i="24"/>
  <c r="I83" i="24" s="1"/>
  <c r="H31" i="24"/>
  <c r="I31" i="24" s="1"/>
  <c r="H144" i="24"/>
  <c r="I144" i="24" s="1"/>
  <c r="H164" i="24"/>
  <c r="I164" i="24" s="1"/>
  <c r="H93" i="24"/>
  <c r="I93" i="24" s="1"/>
  <c r="H175" i="24"/>
  <c r="I175" i="24" s="1"/>
  <c r="H165" i="24"/>
  <c r="I165" i="24" s="1"/>
  <c r="H137" i="24"/>
  <c r="I137" i="24" s="1"/>
  <c r="H82" i="24"/>
  <c r="I82" i="24" s="1"/>
  <c r="H43" i="24"/>
  <c r="I43" i="24" s="1"/>
  <c r="H42" i="24"/>
  <c r="I42" i="24" s="1"/>
  <c r="H64" i="24"/>
  <c r="I64" i="24" s="1"/>
  <c r="H69" i="24"/>
  <c r="I69" i="24" s="1"/>
  <c r="H72" i="24"/>
  <c r="I72" i="24" s="1"/>
  <c r="H162" i="24"/>
  <c r="I162" i="24" s="1"/>
  <c r="H177" i="24"/>
  <c r="I177" i="24" s="1"/>
  <c r="H185" i="24"/>
  <c r="I185" i="24" s="1"/>
  <c r="H184" i="24"/>
  <c r="I184" i="24" s="1"/>
  <c r="H63" i="24"/>
  <c r="I63" i="24" s="1"/>
  <c r="H88" i="24"/>
  <c r="I88" i="24" s="1"/>
  <c r="H73" i="24"/>
  <c r="I73" i="24" s="1"/>
  <c r="H154" i="24"/>
  <c r="I154" i="24" s="1"/>
  <c r="H132" i="24"/>
  <c r="I132" i="24" s="1"/>
  <c r="H26" i="24"/>
  <c r="I26" i="24" s="1"/>
  <c r="H136" i="24"/>
  <c r="I136" i="24" s="1"/>
  <c r="H160" i="24"/>
  <c r="I160" i="24" s="1"/>
  <c r="H139" i="24"/>
  <c r="I139" i="24" s="1"/>
  <c r="H173" i="24"/>
  <c r="I173" i="24" s="1"/>
  <c r="H143" i="24"/>
  <c r="I143" i="24" s="1"/>
  <c r="H90" i="24"/>
  <c r="I90" i="24" s="1"/>
  <c r="H81" i="24"/>
  <c r="I81" i="24" s="1"/>
  <c r="H47" i="24"/>
  <c r="I47" i="24" s="1"/>
  <c r="H55" i="24"/>
  <c r="I55" i="24" s="1"/>
  <c r="H62" i="24"/>
  <c r="I62" i="24" s="1"/>
  <c r="H41" i="24"/>
  <c r="I41" i="24" s="1"/>
  <c r="H85" i="24"/>
  <c r="I85" i="24" s="1"/>
  <c r="H51" i="24"/>
  <c r="I51" i="24" s="1"/>
  <c r="H59" i="24"/>
  <c r="I59" i="24" s="1"/>
  <c r="H68" i="24"/>
  <c r="I68" i="24" s="1"/>
  <c r="H84" i="24"/>
  <c r="I84" i="24" s="1"/>
  <c r="H50" i="24"/>
  <c r="I50" i="24" s="1"/>
  <c r="H58" i="24"/>
  <c r="I58" i="24" s="1"/>
  <c r="H37" i="24"/>
  <c r="I37" i="24" s="1"/>
  <c r="H70" i="24"/>
  <c r="I70" i="24" s="1"/>
  <c r="H91" i="24"/>
  <c r="I91" i="24" s="1"/>
  <c r="H49" i="24"/>
  <c r="I49" i="24" s="1"/>
  <c r="H57" i="24"/>
  <c r="I57" i="24" s="1"/>
  <c r="H158" i="24"/>
  <c r="I158" i="24" s="1"/>
  <c r="H142" i="24"/>
  <c r="I142" i="24" s="1"/>
  <c r="H167" i="24"/>
  <c r="I167" i="24" s="1"/>
  <c r="H96" i="24"/>
  <c r="I96" i="24" s="1"/>
  <c r="H155" i="24"/>
  <c r="I155" i="24" s="1"/>
  <c r="H168" i="24"/>
  <c r="I168" i="24" s="1"/>
  <c r="H145" i="24"/>
  <c r="I145" i="24" s="1"/>
  <c r="H153" i="24"/>
  <c r="I153" i="24" s="1"/>
  <c r="H129" i="24"/>
  <c r="I129" i="24" s="1"/>
  <c r="H40" i="24"/>
  <c r="I40" i="24" s="1"/>
  <c r="H67" i="24"/>
  <c r="I67" i="24" s="1"/>
  <c r="H66" i="24"/>
  <c r="I66" i="24" s="1"/>
  <c r="H87" i="24"/>
  <c r="I87" i="24" s="1"/>
  <c r="H45" i="24"/>
  <c r="I45" i="24" s="1"/>
  <c r="H53" i="24"/>
  <c r="I53" i="24" s="1"/>
  <c r="K188" i="16"/>
  <c r="K189" i="16"/>
  <c r="K195" i="16"/>
  <c r="K190" i="16"/>
  <c r="K197" i="16"/>
  <c r="K193" i="16"/>
  <c r="K191" i="16"/>
  <c r="K194" i="16"/>
  <c r="K196" i="16"/>
  <c r="N185" i="17"/>
  <c r="K192" i="16"/>
  <c r="L154" i="17"/>
  <c r="L151" i="17"/>
  <c r="I31" i="11"/>
  <c r="J74" i="11"/>
  <c r="I69" i="11"/>
  <c r="I56" i="11"/>
  <c r="K63" i="11"/>
  <c r="J47" i="11"/>
  <c r="J60" i="11"/>
  <c r="M44" i="11"/>
  <c r="I70" i="11"/>
  <c r="M62" i="11"/>
  <c r="M38" i="11"/>
  <c r="J73" i="11"/>
  <c r="K65" i="11"/>
  <c r="J49" i="11"/>
  <c r="M43" i="11"/>
  <c r="K50" i="11"/>
  <c r="L48" i="11"/>
  <c r="M45" i="11"/>
  <c r="I67" i="11"/>
  <c r="I51" i="11"/>
  <c r="J52" i="11"/>
  <c r="K58" i="11"/>
  <c r="I58" i="11"/>
  <c r="I37" i="11"/>
  <c r="J148" i="11"/>
  <c r="J128" i="11"/>
  <c r="I114" i="11"/>
  <c r="M121" i="11"/>
  <c r="M176" i="11"/>
  <c r="L173" i="11"/>
  <c r="I185" i="11"/>
  <c r="J183" i="11"/>
  <c r="I127" i="11"/>
  <c r="J26" i="11"/>
  <c r="I26" i="11"/>
  <c r="M64" i="11"/>
  <c r="J64" i="11"/>
  <c r="L68" i="11"/>
  <c r="K74" i="11"/>
  <c r="J42" i="11"/>
  <c r="K69" i="11"/>
  <c r="M69" i="11"/>
  <c r="M53" i="11"/>
  <c r="L72" i="11"/>
  <c r="M56" i="11"/>
  <c r="I71" i="11"/>
  <c r="K71" i="11"/>
  <c r="I63" i="11"/>
  <c r="L55" i="11"/>
  <c r="L47" i="11"/>
  <c r="I39" i="11"/>
  <c r="K39" i="11"/>
  <c r="M60" i="11"/>
  <c r="J44" i="11"/>
  <c r="K70" i="11"/>
  <c r="J62" i="11"/>
  <c r="K62" i="11"/>
  <c r="L54" i="11"/>
  <c r="L46" i="11"/>
  <c r="J38" i="11"/>
  <c r="K73" i="11"/>
  <c r="M73" i="11"/>
  <c r="J65" i="11"/>
  <c r="M57" i="11"/>
  <c r="K49" i="11"/>
  <c r="K41" i="11"/>
  <c r="I41" i="11"/>
  <c r="K40" i="11"/>
  <c r="J43" i="11"/>
  <c r="J50" i="11"/>
  <c r="M50" i="11"/>
  <c r="K48" i="11"/>
  <c r="J45" i="11"/>
  <c r="L72" i="17"/>
  <c r="M59" i="11"/>
  <c r="L59" i="11"/>
  <c r="J51" i="11"/>
  <c r="I52" i="11"/>
  <c r="M58" i="11"/>
  <c r="L61" i="11"/>
  <c r="I61" i="11"/>
  <c r="M37" i="11"/>
  <c r="K78" i="11"/>
  <c r="L146" i="11"/>
  <c r="J168" i="11"/>
  <c r="L148" i="11"/>
  <c r="M126" i="11"/>
  <c r="L126" i="11"/>
  <c r="J178" i="11"/>
  <c r="K184" i="11"/>
  <c r="L184" i="11"/>
  <c r="M145" i="11"/>
  <c r="M128" i="11"/>
  <c r="L117" i="11"/>
  <c r="L179" i="11"/>
  <c r="M174" i="11"/>
  <c r="M181" i="11"/>
  <c r="I150" i="11"/>
  <c r="J150" i="11"/>
  <c r="M122" i="11"/>
  <c r="J114" i="11"/>
  <c r="J175" i="11"/>
  <c r="I175" i="11"/>
  <c r="L149" i="11"/>
  <c r="I121" i="11"/>
  <c r="I113" i="11"/>
  <c r="L113" i="11"/>
  <c r="K119" i="11"/>
  <c r="L177" i="11"/>
  <c r="J118" i="11"/>
  <c r="L176" i="11"/>
  <c r="M120" i="11"/>
  <c r="J120" i="11"/>
  <c r="I182" i="11"/>
  <c r="J173" i="11"/>
  <c r="M115" i="11"/>
  <c r="M185" i="11"/>
  <c r="I183" i="11"/>
  <c r="M183" i="11"/>
  <c r="L127" i="11"/>
  <c r="M26" i="11"/>
  <c r="J68" i="11"/>
  <c r="I42" i="11"/>
  <c r="J72" i="11"/>
  <c r="K55" i="11"/>
  <c r="M40" i="11"/>
  <c r="K66" i="11"/>
  <c r="J59" i="11"/>
  <c r="M78" i="11"/>
  <c r="M146" i="11"/>
  <c r="L168" i="11"/>
  <c r="K148" i="11"/>
  <c r="I184" i="11"/>
  <c r="K128" i="11"/>
  <c r="M179" i="11"/>
  <c r="J174" i="11"/>
  <c r="I181" i="11"/>
  <c r="L122" i="11"/>
  <c r="L175" i="11"/>
  <c r="I149" i="11"/>
  <c r="M116" i="11"/>
  <c r="J115" i="11"/>
  <c r="J127" i="11"/>
  <c r="L180" i="17"/>
  <c r="L184" i="17"/>
  <c r="L26" i="11"/>
  <c r="K31" i="11"/>
  <c r="I64" i="11"/>
  <c r="M68" i="11"/>
  <c r="K68" i="11"/>
  <c r="L74" i="11"/>
  <c r="K42" i="11"/>
  <c r="J69" i="11"/>
  <c r="I53" i="11"/>
  <c r="L53" i="11"/>
  <c r="M72" i="11"/>
  <c r="J56" i="11"/>
  <c r="M71" i="11"/>
  <c r="J63" i="11"/>
  <c r="L63" i="11"/>
  <c r="I55" i="11"/>
  <c r="I47" i="11"/>
  <c r="M39" i="11"/>
  <c r="L60" i="11"/>
  <c r="I60" i="11"/>
  <c r="I44" i="11"/>
  <c r="L70" i="11"/>
  <c r="I62" i="11"/>
  <c r="J54" i="11"/>
  <c r="I54" i="11"/>
  <c r="M46" i="11"/>
  <c r="K38" i="11"/>
  <c r="I73" i="11"/>
  <c r="L65" i="11"/>
  <c r="M65" i="11"/>
  <c r="K57" i="11"/>
  <c r="I49" i="11"/>
  <c r="L41" i="11"/>
  <c r="J40" i="11"/>
  <c r="L40" i="11"/>
  <c r="I43" i="11"/>
  <c r="L66" i="11"/>
  <c r="I50" i="11"/>
  <c r="I48" i="11"/>
  <c r="J48" i="11"/>
  <c r="I45" i="11"/>
  <c r="M67" i="11"/>
  <c r="I59" i="11"/>
  <c r="M51" i="11"/>
  <c r="L51" i="11"/>
  <c r="M52" i="11"/>
  <c r="J58" i="11"/>
  <c r="K61" i="11"/>
  <c r="K37" i="11"/>
  <c r="L37" i="11"/>
  <c r="K146" i="11"/>
  <c r="I168" i="11"/>
  <c r="M148" i="11"/>
  <c r="J126" i="11"/>
  <c r="K178" i="11"/>
  <c r="L178" i="11"/>
  <c r="J184" i="11"/>
  <c r="L145" i="11"/>
  <c r="I128" i="11"/>
  <c r="M117" i="11"/>
  <c r="K117" i="11"/>
  <c r="K179" i="11"/>
  <c r="K181" i="11"/>
  <c r="L150" i="11"/>
  <c r="I122" i="11"/>
  <c r="L114" i="11"/>
  <c r="M175" i="11"/>
  <c r="M149" i="11"/>
  <c r="K149" i="11"/>
  <c r="K121" i="11"/>
  <c r="J113" i="11"/>
  <c r="M119" i="11"/>
  <c r="I119" i="11"/>
  <c r="K177" i="11"/>
  <c r="L118" i="11"/>
  <c r="K176" i="11"/>
  <c r="I120" i="11"/>
  <c r="K182" i="11"/>
  <c r="J182" i="11"/>
  <c r="J147" i="11"/>
  <c r="I173" i="11"/>
  <c r="K116" i="11"/>
  <c r="L115" i="11"/>
  <c r="L185" i="11"/>
  <c r="K183" i="11"/>
  <c r="K127" i="11"/>
  <c r="K64" i="11"/>
  <c r="M42" i="11"/>
  <c r="J53" i="11"/>
  <c r="L56" i="11"/>
  <c r="L71" i="11"/>
  <c r="M47" i="11"/>
  <c r="J39" i="11"/>
  <c r="J70" i="11"/>
  <c r="I46" i="11"/>
  <c r="I38" i="11"/>
  <c r="L57" i="11"/>
  <c r="M41" i="11"/>
  <c r="J66" i="11"/>
  <c r="J67" i="11"/>
  <c r="K126" i="11"/>
  <c r="K150" i="11"/>
  <c r="K114" i="11"/>
  <c r="L121" i="11"/>
  <c r="K113" i="11"/>
  <c r="J119" i="11"/>
  <c r="M177" i="11"/>
  <c r="K118" i="11"/>
  <c r="L182" i="11"/>
  <c r="K147" i="11"/>
  <c r="K173" i="11"/>
  <c r="L116" i="11"/>
  <c r="K26" i="11"/>
  <c r="M31" i="11"/>
  <c r="L64" i="11"/>
  <c r="I68" i="11"/>
  <c r="M74" i="11"/>
  <c r="I74" i="11"/>
  <c r="L69" i="11"/>
  <c r="K53" i="11"/>
  <c r="K72" i="11"/>
  <c r="I72" i="11"/>
  <c r="K56" i="11"/>
  <c r="J71" i="11"/>
  <c r="M63" i="11"/>
  <c r="J55" i="11"/>
  <c r="M55" i="11"/>
  <c r="K47" i="11"/>
  <c r="K60" i="11"/>
  <c r="K44" i="11"/>
  <c r="M70" i="11"/>
  <c r="L62" i="11"/>
  <c r="M54" i="11"/>
  <c r="J46" i="11"/>
  <c r="K46" i="11"/>
  <c r="L38" i="11"/>
  <c r="L73" i="11"/>
  <c r="I57" i="11"/>
  <c r="M49" i="11"/>
  <c r="I40" i="11"/>
  <c r="L43" i="11"/>
  <c r="K43" i="11"/>
  <c r="M66" i="11"/>
  <c r="L50" i="11"/>
  <c r="M48" i="11"/>
  <c r="L45" i="11"/>
  <c r="K67" i="11"/>
  <c r="K59" i="11"/>
  <c r="K51" i="11"/>
  <c r="K52" i="11"/>
  <c r="L52" i="11"/>
  <c r="L58" i="11"/>
  <c r="M61" i="11"/>
  <c r="J37" i="11"/>
  <c r="J146" i="11"/>
  <c r="M168" i="11"/>
  <c r="K168" i="11"/>
  <c r="I148" i="11"/>
  <c r="I126" i="11"/>
  <c r="I178" i="11"/>
  <c r="M184" i="11"/>
  <c r="I145" i="11"/>
  <c r="K145" i="11"/>
  <c r="L128" i="11"/>
  <c r="J117" i="11"/>
  <c r="J179" i="11"/>
  <c r="I174" i="11"/>
  <c r="J181" i="11"/>
  <c r="L181" i="11"/>
  <c r="J122" i="11"/>
  <c r="K122" i="11"/>
  <c r="M114" i="11"/>
  <c r="K175" i="11"/>
  <c r="J149" i="11"/>
  <c r="J121" i="11"/>
  <c r="M113" i="11"/>
  <c r="L119" i="11"/>
  <c r="J177" i="11"/>
  <c r="I177" i="11"/>
  <c r="M118" i="11"/>
  <c r="J176" i="11"/>
  <c r="K120" i="11"/>
  <c r="M182" i="11"/>
  <c r="M147" i="11"/>
  <c r="L147" i="11"/>
  <c r="M173" i="11"/>
  <c r="J116" i="11"/>
  <c r="I115" i="11"/>
  <c r="K115" i="11"/>
  <c r="K185" i="11"/>
  <c r="J185" i="11"/>
  <c r="L183" i="11"/>
  <c r="M127" i="11"/>
  <c r="L76" i="17"/>
  <c r="L187" i="17"/>
  <c r="L51" i="17"/>
  <c r="L183" i="17"/>
  <c r="L56" i="17"/>
  <c r="L126" i="17"/>
  <c r="L70" i="17"/>
  <c r="L121" i="17"/>
  <c r="L118" i="17"/>
  <c r="L57" i="17"/>
  <c r="L50" i="17"/>
  <c r="L42" i="17"/>
  <c r="L75" i="17"/>
  <c r="L45" i="17"/>
  <c r="L150" i="17"/>
  <c r="L155" i="17"/>
  <c r="L27" i="17"/>
  <c r="L119" i="17"/>
  <c r="J133" i="16"/>
  <c r="J140" i="16"/>
  <c r="J150" i="16"/>
  <c r="J171" i="16"/>
  <c r="L123" i="17"/>
  <c r="L186" i="17"/>
  <c r="J156" i="16"/>
  <c r="L152" i="17"/>
  <c r="L153" i="17"/>
  <c r="J160" i="16"/>
  <c r="L120" i="17"/>
  <c r="L124" i="17"/>
  <c r="J132" i="16"/>
  <c r="I119" i="17"/>
  <c r="J126" i="16"/>
  <c r="L69" i="17"/>
  <c r="L43" i="17"/>
  <c r="L55" i="17"/>
  <c r="L48" i="17"/>
  <c r="L78" i="17"/>
  <c r="L63" i="17"/>
  <c r="J155" i="16"/>
  <c r="J149" i="16"/>
  <c r="J174" i="16"/>
  <c r="J177" i="16"/>
  <c r="J151" i="16"/>
  <c r="J178" i="16"/>
  <c r="J165" i="16"/>
  <c r="L131" i="17"/>
  <c r="J131" i="16"/>
  <c r="L188" i="17"/>
  <c r="L52" i="17"/>
  <c r="L59" i="17"/>
  <c r="L73" i="17"/>
  <c r="J58" i="16"/>
  <c r="J152" i="11"/>
  <c r="J157" i="17"/>
  <c r="I158" i="11"/>
  <c r="I163" i="17"/>
  <c r="J170" i="16"/>
  <c r="M156" i="11"/>
  <c r="M161" i="17"/>
  <c r="I140" i="11"/>
  <c r="I145" i="17"/>
  <c r="L155" i="11"/>
  <c r="L160" i="17"/>
  <c r="J167" i="16"/>
  <c r="I179" i="11"/>
  <c r="J166" i="11"/>
  <c r="J171" i="17"/>
  <c r="I176" i="11"/>
  <c r="I147" i="11"/>
  <c r="J159" i="16"/>
  <c r="L129" i="11"/>
  <c r="L134" i="17"/>
  <c r="K129" i="11"/>
  <c r="K134" i="17"/>
  <c r="K153" i="11"/>
  <c r="K158" i="17"/>
  <c r="M164" i="11"/>
  <c r="M169" i="17"/>
  <c r="L163" i="11"/>
  <c r="L168" i="17"/>
  <c r="J162" i="11"/>
  <c r="J167" i="17"/>
  <c r="L143" i="11"/>
  <c r="L148" i="17"/>
  <c r="J135" i="16"/>
  <c r="I117" i="11"/>
  <c r="J129" i="16"/>
  <c r="I75" i="11"/>
  <c r="I80" i="17"/>
  <c r="J87" i="16"/>
  <c r="L151" i="11"/>
  <c r="L156" i="17"/>
  <c r="J163" i="16"/>
  <c r="M165" i="11"/>
  <c r="M170" i="17"/>
  <c r="I167" i="11"/>
  <c r="I172" i="17"/>
  <c r="J179" i="16"/>
  <c r="J154" i="11"/>
  <c r="J159" i="17"/>
  <c r="L142" i="11"/>
  <c r="L147" i="17"/>
  <c r="J154" i="16"/>
  <c r="M160" i="11"/>
  <c r="M165" i="17"/>
  <c r="K160" i="11"/>
  <c r="K165" i="17"/>
  <c r="I146" i="11"/>
  <c r="J158" i="16"/>
  <c r="K174" i="11"/>
  <c r="M150" i="11"/>
  <c r="J162" i="16"/>
  <c r="M157" i="11"/>
  <c r="M162" i="17"/>
  <c r="J152" i="16"/>
  <c r="J123" i="11"/>
  <c r="J128" i="17"/>
  <c r="J145" i="11"/>
  <c r="J157" i="16"/>
  <c r="L178" i="17"/>
  <c r="L42" i="11"/>
  <c r="L47" i="17"/>
  <c r="L39" i="11"/>
  <c r="L44" i="17"/>
  <c r="L44" i="11"/>
  <c r="L49" i="17"/>
  <c r="I78" i="11"/>
  <c r="J90" i="16"/>
  <c r="J175" i="16"/>
  <c r="M178" i="11"/>
  <c r="L161" i="11"/>
  <c r="L166" i="17"/>
  <c r="J161" i="11"/>
  <c r="J166" i="17"/>
  <c r="L141" i="11"/>
  <c r="L146" i="17"/>
  <c r="K141" i="11"/>
  <c r="K146" i="17"/>
  <c r="M139" i="11"/>
  <c r="M144" i="17"/>
  <c r="J138" i="11"/>
  <c r="J143" i="17"/>
  <c r="I118" i="11"/>
  <c r="J130" i="16"/>
  <c r="L120" i="11"/>
  <c r="L125" i="17"/>
  <c r="I116" i="11"/>
  <c r="J128" i="16"/>
  <c r="L159" i="11"/>
  <c r="L164" i="17"/>
  <c r="M169" i="11"/>
  <c r="M174" i="17"/>
  <c r="K169" i="11"/>
  <c r="K174" i="17"/>
  <c r="L160" i="11"/>
  <c r="L165" i="17"/>
  <c r="L78" i="11"/>
  <c r="L83" i="17"/>
  <c r="L162" i="11"/>
  <c r="L167" i="17"/>
  <c r="J143" i="11"/>
  <c r="J148" i="17"/>
  <c r="I161" i="11"/>
  <c r="I166" i="17"/>
  <c r="J141" i="11"/>
  <c r="J146" i="17"/>
  <c r="K139" i="11"/>
  <c r="K144" i="17"/>
  <c r="J75" i="11"/>
  <c r="J80" i="17"/>
  <c r="M138" i="11"/>
  <c r="M143" i="17"/>
  <c r="J165" i="11"/>
  <c r="J170" i="17"/>
  <c r="J137" i="11"/>
  <c r="J142" i="17"/>
  <c r="K158" i="11"/>
  <c r="K163" i="17"/>
  <c r="I157" i="11"/>
  <c r="I162" i="17"/>
  <c r="L157" i="11"/>
  <c r="L162" i="17"/>
  <c r="I154" i="11"/>
  <c r="I159" i="17"/>
  <c r="L156" i="11"/>
  <c r="L161" i="17"/>
  <c r="K159" i="11"/>
  <c r="K164" i="17"/>
  <c r="I129" i="11"/>
  <c r="I134" i="17"/>
  <c r="J127" i="16"/>
  <c r="I169" i="11"/>
  <c r="I174" i="17"/>
  <c r="M153" i="11"/>
  <c r="M158" i="17"/>
  <c r="M142" i="11"/>
  <c r="M147" i="17"/>
  <c r="I164" i="11"/>
  <c r="I169" i="17"/>
  <c r="I144" i="11"/>
  <c r="I149" i="17"/>
  <c r="L64" i="17"/>
  <c r="L182" i="17"/>
  <c r="L46" i="17"/>
  <c r="J55" i="16"/>
  <c r="I160" i="11"/>
  <c r="I165" i="17"/>
  <c r="J163" i="11"/>
  <c r="J168" i="17"/>
  <c r="M162" i="11"/>
  <c r="M167" i="17"/>
  <c r="J180" i="16"/>
  <c r="M143" i="11"/>
  <c r="M148" i="17"/>
  <c r="M123" i="11"/>
  <c r="M128" i="17"/>
  <c r="M161" i="11"/>
  <c r="M166" i="17"/>
  <c r="I141" i="11"/>
  <c r="I146" i="17"/>
  <c r="J139" i="11"/>
  <c r="J144" i="17"/>
  <c r="L75" i="11"/>
  <c r="L80" i="17"/>
  <c r="M166" i="11"/>
  <c r="M171" i="17"/>
  <c r="I138" i="11"/>
  <c r="I143" i="17"/>
  <c r="J134" i="16"/>
  <c r="J187" i="16"/>
  <c r="M152" i="11"/>
  <c r="M157" i="17"/>
  <c r="L152" i="11"/>
  <c r="L157" i="17"/>
  <c r="M151" i="11"/>
  <c r="M156" i="17"/>
  <c r="J151" i="11"/>
  <c r="J156" i="17"/>
  <c r="L165" i="11"/>
  <c r="L170" i="17"/>
  <c r="M137" i="11"/>
  <c r="M142" i="17"/>
  <c r="L137" i="11"/>
  <c r="L142" i="17"/>
  <c r="J125" i="16"/>
  <c r="J158" i="11"/>
  <c r="J163" i="17"/>
  <c r="L158" i="11"/>
  <c r="L163" i="17"/>
  <c r="J167" i="11"/>
  <c r="J172" i="17"/>
  <c r="M167" i="11"/>
  <c r="M172" i="17"/>
  <c r="J169" i="16"/>
  <c r="K157" i="11"/>
  <c r="K162" i="17"/>
  <c r="J166" i="16"/>
  <c r="M154" i="11"/>
  <c r="M159" i="17"/>
  <c r="J168" i="16"/>
  <c r="K156" i="11"/>
  <c r="K161" i="17"/>
  <c r="L140" i="11"/>
  <c r="L145" i="17"/>
  <c r="I159" i="11"/>
  <c r="I164" i="17"/>
  <c r="M129" i="11"/>
  <c r="M134" i="17"/>
  <c r="J169" i="11"/>
  <c r="J174" i="17"/>
  <c r="L153" i="11"/>
  <c r="L158" i="17"/>
  <c r="J155" i="11"/>
  <c r="J160" i="17"/>
  <c r="I155" i="11"/>
  <c r="I160" i="17"/>
  <c r="I142" i="11"/>
  <c r="I147" i="17"/>
  <c r="J176" i="16"/>
  <c r="L164" i="11"/>
  <c r="L169" i="17"/>
  <c r="L144" i="11"/>
  <c r="L149" i="17"/>
  <c r="J139" i="16"/>
  <c r="M144" i="11"/>
  <c r="M149" i="17"/>
  <c r="I163" i="11"/>
  <c r="I168" i="17"/>
  <c r="K162" i="11"/>
  <c r="K167" i="17"/>
  <c r="I143" i="11"/>
  <c r="I148" i="17"/>
  <c r="I123" i="11"/>
  <c r="I128" i="17"/>
  <c r="L139" i="11"/>
  <c r="L144" i="17"/>
  <c r="K166" i="11"/>
  <c r="K171" i="17"/>
  <c r="K138" i="11"/>
  <c r="K143" i="17"/>
  <c r="I152" i="11"/>
  <c r="I157" i="17"/>
  <c r="K152" i="11"/>
  <c r="K157" i="17"/>
  <c r="I151" i="11"/>
  <c r="I156" i="17"/>
  <c r="K165" i="11"/>
  <c r="K170" i="17"/>
  <c r="K167" i="11"/>
  <c r="K172" i="17"/>
  <c r="M140" i="11"/>
  <c r="M145" i="17"/>
  <c r="K140" i="11"/>
  <c r="K145" i="17"/>
  <c r="J159" i="11"/>
  <c r="J164" i="17"/>
  <c r="K155" i="11"/>
  <c r="K160" i="17"/>
  <c r="J144" i="11"/>
  <c r="J149" i="17"/>
  <c r="L132" i="17"/>
  <c r="L122" i="17"/>
  <c r="L66" i="17"/>
  <c r="J85" i="16"/>
  <c r="J172" i="16"/>
  <c r="J160" i="11"/>
  <c r="J165" i="17"/>
  <c r="M163" i="11"/>
  <c r="M168" i="17"/>
  <c r="K163" i="11"/>
  <c r="K168" i="17"/>
  <c r="I162" i="11"/>
  <c r="I167" i="17"/>
  <c r="J138" i="16"/>
  <c r="K143" i="11"/>
  <c r="K148" i="17"/>
  <c r="K123" i="11"/>
  <c r="K128" i="17"/>
  <c r="L123" i="11"/>
  <c r="L128" i="17"/>
  <c r="J173" i="16"/>
  <c r="K161" i="11"/>
  <c r="K166" i="17"/>
  <c r="J153" i="16"/>
  <c r="M141" i="11"/>
  <c r="M146" i="17"/>
  <c r="I139" i="11"/>
  <c r="I144" i="17"/>
  <c r="M75" i="11"/>
  <c r="M80" i="17"/>
  <c r="K75" i="11"/>
  <c r="K80" i="17"/>
  <c r="I166" i="11"/>
  <c r="I171" i="17"/>
  <c r="L166" i="11"/>
  <c r="L171" i="17"/>
  <c r="L138" i="11"/>
  <c r="L143" i="17"/>
  <c r="J164" i="16"/>
  <c r="K151" i="11"/>
  <c r="K156" i="17"/>
  <c r="I165" i="11"/>
  <c r="I170" i="17"/>
  <c r="J161" i="16"/>
  <c r="I137" i="11"/>
  <c r="I142" i="17"/>
  <c r="K137" i="11"/>
  <c r="K142" i="17"/>
  <c r="M158" i="11"/>
  <c r="M163" i="17"/>
  <c r="L167" i="11"/>
  <c r="L172" i="17"/>
  <c r="J157" i="11"/>
  <c r="J162" i="17"/>
  <c r="J185" i="16"/>
  <c r="L154" i="11"/>
  <c r="L159" i="17"/>
  <c r="K154" i="11"/>
  <c r="K159" i="17"/>
  <c r="I156" i="11"/>
  <c r="I161" i="17"/>
  <c r="J156" i="11"/>
  <c r="J161" i="17"/>
  <c r="J140" i="11"/>
  <c r="J145" i="17"/>
  <c r="M159" i="11"/>
  <c r="M164" i="17"/>
  <c r="J141" i="16"/>
  <c r="J129" i="11"/>
  <c r="J134" i="17"/>
  <c r="J181" i="16"/>
  <c r="L169" i="11"/>
  <c r="L174" i="17"/>
  <c r="I153" i="11"/>
  <c r="I158" i="17"/>
  <c r="J153" i="11"/>
  <c r="J158" i="17"/>
  <c r="M155" i="11"/>
  <c r="M160" i="17"/>
  <c r="K142" i="11"/>
  <c r="K147" i="17"/>
  <c r="J142" i="11"/>
  <c r="J147" i="17"/>
  <c r="K164" i="11"/>
  <c r="K169" i="17"/>
  <c r="J164" i="11"/>
  <c r="J169" i="17"/>
  <c r="K144" i="11"/>
  <c r="K149" i="17"/>
  <c r="J61" i="16"/>
  <c r="L49" i="11"/>
  <c r="L61" i="17"/>
  <c r="L74" i="17"/>
  <c r="L62" i="17"/>
  <c r="L58" i="17"/>
  <c r="J41" i="16"/>
  <c r="J76" i="16"/>
  <c r="J86" i="16"/>
  <c r="J81" i="16"/>
  <c r="J84" i="16"/>
  <c r="J83" i="16"/>
  <c r="J67" i="16"/>
  <c r="J51" i="16"/>
  <c r="J56" i="16"/>
  <c r="J74" i="16"/>
  <c r="J66" i="16"/>
  <c r="K54" i="11"/>
  <c r="J60" i="16"/>
  <c r="J79" i="16"/>
  <c r="L67" i="11"/>
  <c r="J71" i="16"/>
  <c r="J64" i="16"/>
  <c r="J73" i="16"/>
  <c r="J61" i="11"/>
  <c r="L53" i="17"/>
  <c r="L71" i="17"/>
  <c r="L68" i="17"/>
  <c r="L65" i="17"/>
  <c r="J50" i="16"/>
  <c r="J52" i="16"/>
  <c r="J49" i="16"/>
  <c r="L77" i="17"/>
  <c r="L67" i="17"/>
  <c r="L60" i="17"/>
  <c r="L54" i="17"/>
  <c r="J80" i="16"/>
  <c r="J54" i="16"/>
  <c r="J65" i="16"/>
  <c r="J68" i="16"/>
  <c r="J75" i="16"/>
  <c r="J59" i="16"/>
  <c r="J72" i="16"/>
  <c r="J82" i="16"/>
  <c r="J77" i="16"/>
  <c r="I65" i="11"/>
  <c r="J69" i="16"/>
  <c r="J57" i="11"/>
  <c r="J53" i="16"/>
  <c r="J41" i="11"/>
  <c r="J78" i="16"/>
  <c r="I66" i="11"/>
  <c r="J62" i="16"/>
  <c r="J57" i="16"/>
  <c r="K45" i="11"/>
  <c r="J63" i="16"/>
  <c r="J70" i="16"/>
  <c r="J36" i="16"/>
  <c r="I42" i="17"/>
  <c r="I54" i="17"/>
  <c r="I46" i="17"/>
  <c r="J53" i="17"/>
  <c r="M39" i="17"/>
  <c r="M55" i="17"/>
  <c r="K47" i="17"/>
  <c r="I58" i="17"/>
  <c r="K52" i="17"/>
  <c r="I44" i="17"/>
  <c r="K82" i="17"/>
  <c r="J85" i="17"/>
  <c r="I86" i="17"/>
  <c r="M92" i="17"/>
  <c r="M96" i="17"/>
  <c r="K99" i="17"/>
  <c r="M90" i="17"/>
  <c r="I98" i="17"/>
  <c r="K101" i="17"/>
  <c r="J118" i="17"/>
  <c r="J152" i="17"/>
  <c r="J154" i="17"/>
  <c r="K150" i="17"/>
  <c r="J153" i="17"/>
  <c r="M153" i="17"/>
  <c r="M155" i="17"/>
  <c r="I64" i="17"/>
  <c r="K139" i="17"/>
  <c r="M77" i="17"/>
  <c r="I71" i="17"/>
  <c r="I140" i="17"/>
  <c r="K140" i="17"/>
  <c r="I88" i="17"/>
  <c r="J70" i="17"/>
  <c r="M62" i="17"/>
  <c r="I111" i="17"/>
  <c r="M106" i="17"/>
  <c r="K68" i="17"/>
  <c r="J65" i="17"/>
  <c r="K124" i="17"/>
  <c r="J124" i="17"/>
  <c r="M66" i="17"/>
  <c r="M81" i="17"/>
  <c r="K84" i="17"/>
  <c r="J83" i="17"/>
  <c r="M21" i="17"/>
  <c r="J42" i="17"/>
  <c r="M46" i="17"/>
  <c r="I53" i="17"/>
  <c r="J45" i="17"/>
  <c r="I56" i="17"/>
  <c r="M47" i="17"/>
  <c r="I87" i="17"/>
  <c r="I95" i="17"/>
  <c r="K100" i="17"/>
  <c r="K102" i="17"/>
  <c r="M105" i="17"/>
  <c r="I97" i="17"/>
  <c r="K96" i="17"/>
  <c r="J99" i="17"/>
  <c r="M98" i="17"/>
  <c r="J101" i="17"/>
  <c r="J126" i="17"/>
  <c r="K126" i="17"/>
  <c r="M135" i="17"/>
  <c r="K152" i="17"/>
  <c r="J150" i="17"/>
  <c r="I151" i="17"/>
  <c r="K151" i="17"/>
  <c r="J155" i="17"/>
  <c r="J72" i="17"/>
  <c r="K77" i="17"/>
  <c r="I112" i="17"/>
  <c r="M70" i="17"/>
  <c r="J62" i="17"/>
  <c r="K106" i="17"/>
  <c r="M68" i="17"/>
  <c r="K60" i="17"/>
  <c r="K178" i="17"/>
  <c r="I178" i="17"/>
  <c r="M73" i="17"/>
  <c r="M40" i="17"/>
  <c r="I66" i="17"/>
  <c r="K141" i="17"/>
  <c r="M141" i="17"/>
  <c r="M83" i="17"/>
  <c r="J22" i="17"/>
  <c r="M22" i="17"/>
  <c r="J21" i="17"/>
  <c r="M42" i="17"/>
  <c r="J54" i="17"/>
  <c r="K46" i="17"/>
  <c r="K53" i="17"/>
  <c r="K45" i="17"/>
  <c r="K48" i="17"/>
  <c r="I39" i="17"/>
  <c r="J57" i="17"/>
  <c r="I51" i="17"/>
  <c r="K56" i="17"/>
  <c r="I55" i="17"/>
  <c r="J47" i="17"/>
  <c r="J58" i="17"/>
  <c r="K50" i="17"/>
  <c r="J44" i="17"/>
  <c r="M44" i="17"/>
  <c r="J49" i="17"/>
  <c r="I59" i="17"/>
  <c r="J43" i="17"/>
  <c r="M87" i="17"/>
  <c r="I85" i="17"/>
  <c r="J86" i="17"/>
  <c r="I104" i="17"/>
  <c r="M95" i="17"/>
  <c r="J94" i="17"/>
  <c r="K94" i="17"/>
  <c r="K91" i="17"/>
  <c r="J100" i="17"/>
  <c r="I102" i="17"/>
  <c r="K105" i="17"/>
  <c r="M97" i="17"/>
  <c r="J92" i="17"/>
  <c r="J93" i="17"/>
  <c r="J96" i="17"/>
  <c r="M99" i="17"/>
  <c r="J90" i="17"/>
  <c r="K90" i="17"/>
  <c r="I101" i="17"/>
  <c r="M118" i="17"/>
  <c r="K116" i="17"/>
  <c r="M117" i="17"/>
  <c r="I126" i="17"/>
  <c r="J135" i="17"/>
  <c r="I152" i="17"/>
  <c r="I154" i="17"/>
  <c r="I150" i="17"/>
  <c r="M151" i="17"/>
  <c r="K155" i="17"/>
  <c r="K72" i="17"/>
  <c r="K64" i="17"/>
  <c r="J64" i="17"/>
  <c r="I139" i="17"/>
  <c r="J125" i="17"/>
  <c r="J77" i="17"/>
  <c r="I61" i="17"/>
  <c r="M61" i="17"/>
  <c r="M123" i="17"/>
  <c r="M113" i="17"/>
  <c r="J132" i="17"/>
  <c r="M74" i="17"/>
  <c r="J74" i="17"/>
  <c r="K71" i="17"/>
  <c r="K33" i="17"/>
  <c r="M120" i="17"/>
  <c r="M112" i="17"/>
  <c r="K88" i="17"/>
  <c r="J88" i="17"/>
  <c r="M78" i="17"/>
  <c r="K70" i="17"/>
  <c r="I62" i="17"/>
  <c r="M67" i="17"/>
  <c r="J84" i="17"/>
  <c r="J106" i="17"/>
  <c r="I68" i="17"/>
  <c r="J60" i="17"/>
  <c r="K73" i="17"/>
  <c r="I65" i="17"/>
  <c r="K129" i="17"/>
  <c r="K136" i="17"/>
  <c r="I124" i="17"/>
  <c r="J66" i="17"/>
  <c r="M107" i="17"/>
  <c r="I81" i="17"/>
  <c r="K63" i="17"/>
  <c r="J63" i="17"/>
  <c r="M84" i="17"/>
  <c r="I41" i="17"/>
  <c r="I32" i="17"/>
  <c r="M45" i="17"/>
  <c r="K57" i="17"/>
  <c r="M51" i="17"/>
  <c r="J56" i="17"/>
  <c r="M50" i="17"/>
  <c r="M49" i="17"/>
  <c r="J59" i="17"/>
  <c r="M59" i="17"/>
  <c r="K43" i="17"/>
  <c r="K104" i="17"/>
  <c r="I103" i="17"/>
  <c r="J103" i="17"/>
  <c r="K95" i="17"/>
  <c r="I94" i="17"/>
  <c r="M91" i="17"/>
  <c r="M100" i="17"/>
  <c r="I105" i="17"/>
  <c r="J97" i="17"/>
  <c r="M93" i="17"/>
  <c r="J116" i="17"/>
  <c r="M116" i="17"/>
  <c r="J117" i="17"/>
  <c r="K135" i="17"/>
  <c r="K154" i="17"/>
  <c r="I72" i="17"/>
  <c r="I125" i="17"/>
  <c r="I77" i="17"/>
  <c r="I69" i="17"/>
  <c r="J61" i="17"/>
  <c r="K123" i="17"/>
  <c r="K113" i="17"/>
  <c r="J89" i="17"/>
  <c r="K89" i="17"/>
  <c r="K74" i="17"/>
  <c r="M33" i="17"/>
  <c r="K120" i="17"/>
  <c r="I78" i="17"/>
  <c r="J178" i="17"/>
  <c r="I73" i="17"/>
  <c r="M136" i="17"/>
  <c r="K108" i="17"/>
  <c r="K107" i="17"/>
  <c r="I141" i="17"/>
  <c r="M63" i="17"/>
  <c r="K119" i="17"/>
  <c r="J41" i="17"/>
  <c r="I22" i="17"/>
  <c r="K54" i="17"/>
  <c r="I48" i="17"/>
  <c r="J39" i="17"/>
  <c r="I57" i="17"/>
  <c r="J51" i="17"/>
  <c r="J55" i="17"/>
  <c r="M58" i="17"/>
  <c r="I50" i="17"/>
  <c r="J52" i="17"/>
  <c r="M52" i="17"/>
  <c r="K44" i="17"/>
  <c r="I49" i="17"/>
  <c r="M43" i="17"/>
  <c r="K87" i="17"/>
  <c r="J82" i="17"/>
  <c r="M86" i="17"/>
  <c r="J104" i="17"/>
  <c r="M103" i="17"/>
  <c r="J95" i="17"/>
  <c r="J102" i="17"/>
  <c r="K92" i="17"/>
  <c r="K93" i="17"/>
  <c r="I99" i="17"/>
  <c r="I118" i="17"/>
  <c r="I117" i="17"/>
  <c r="K153" i="17"/>
  <c r="M139" i="17"/>
  <c r="K125" i="17"/>
  <c r="M69" i="17"/>
  <c r="K69" i="17"/>
  <c r="J123" i="17"/>
  <c r="I113" i="17"/>
  <c r="M89" i="17"/>
  <c r="K132" i="17"/>
  <c r="I132" i="17"/>
  <c r="M140" i="17"/>
  <c r="J112" i="17"/>
  <c r="M88" i="17"/>
  <c r="K62" i="17"/>
  <c r="J111" i="17"/>
  <c r="M111" i="17"/>
  <c r="I67" i="17"/>
  <c r="I60" i="17"/>
  <c r="K65" i="17"/>
  <c r="I129" i="17"/>
  <c r="I136" i="17"/>
  <c r="M108" i="17"/>
  <c r="J108" i="17"/>
  <c r="I107" i="17"/>
  <c r="I63" i="17"/>
  <c r="J119" i="17"/>
  <c r="K83" i="17"/>
  <c r="I83" i="17"/>
  <c r="K22" i="17"/>
  <c r="I21" i="17"/>
  <c r="M32" i="17"/>
  <c r="K42" i="17"/>
  <c r="M54" i="17"/>
  <c r="J46" i="17"/>
  <c r="M53" i="17"/>
  <c r="I45" i="17"/>
  <c r="J48" i="17"/>
  <c r="M48" i="17"/>
  <c r="K39" i="17"/>
  <c r="M57" i="17"/>
  <c r="K51" i="17"/>
  <c r="M56" i="17"/>
  <c r="K55" i="17"/>
  <c r="I47" i="17"/>
  <c r="K58" i="17"/>
  <c r="J50" i="17"/>
  <c r="I52" i="17"/>
  <c r="K49" i="17"/>
  <c r="K59" i="17"/>
  <c r="I43" i="17"/>
  <c r="J87" i="17"/>
  <c r="I82" i="17"/>
  <c r="K85" i="17"/>
  <c r="M85" i="17"/>
  <c r="K86" i="17"/>
  <c r="M104" i="17"/>
  <c r="K103" i="17"/>
  <c r="M94" i="17"/>
  <c r="I91" i="17"/>
  <c r="J91" i="17"/>
  <c r="I100" i="17"/>
  <c r="M102" i="17"/>
  <c r="J105" i="17"/>
  <c r="K97" i="17"/>
  <c r="I92" i="17"/>
  <c r="I93" i="17"/>
  <c r="I96" i="17"/>
  <c r="I90" i="17"/>
  <c r="J98" i="17"/>
  <c r="K98" i="17"/>
  <c r="M101" i="17"/>
  <c r="K118" i="17"/>
  <c r="I116" i="17"/>
  <c r="K117" i="17"/>
  <c r="M126" i="17"/>
  <c r="I135" i="17"/>
  <c r="M152" i="17"/>
  <c r="M154" i="17"/>
  <c r="M150" i="17"/>
  <c r="I153" i="17"/>
  <c r="J151" i="17"/>
  <c r="I155" i="17"/>
  <c r="M72" i="17"/>
  <c r="M64" i="17"/>
  <c r="J139" i="17"/>
  <c r="M125" i="17"/>
  <c r="J69" i="17"/>
  <c r="K61" i="17"/>
  <c r="I123" i="17"/>
  <c r="J113" i="17"/>
  <c r="I89" i="17"/>
  <c r="M132" i="17"/>
  <c r="I74" i="17"/>
  <c r="M71" i="17"/>
  <c r="J71" i="17"/>
  <c r="I33" i="17"/>
  <c r="I120" i="17"/>
  <c r="J120" i="17"/>
  <c r="J140" i="17"/>
  <c r="K112" i="17"/>
  <c r="K78" i="17"/>
  <c r="J78" i="17"/>
  <c r="I70" i="17"/>
  <c r="K111" i="17"/>
  <c r="K67" i="17"/>
  <c r="J67" i="17"/>
  <c r="J40" i="17"/>
  <c r="I106" i="17"/>
  <c r="J68" i="17"/>
  <c r="M60" i="17"/>
  <c r="M178" i="17"/>
  <c r="J73" i="17"/>
  <c r="M65" i="17"/>
  <c r="M129" i="17"/>
  <c r="J129" i="17"/>
  <c r="J136" i="17"/>
  <c r="M124" i="17"/>
  <c r="I108" i="17"/>
  <c r="K66" i="17"/>
  <c r="J107" i="17"/>
  <c r="J141" i="17"/>
  <c r="K81" i="17"/>
  <c r="M119" i="17"/>
  <c r="M41" i="17"/>
  <c r="O17" i="17"/>
  <c r="Q17" i="17" s="1"/>
  <c r="R17" i="17" s="1"/>
  <c r="O16" i="17"/>
  <c r="P16" i="17" s="1"/>
  <c r="J130" i="17"/>
  <c r="I180" i="17"/>
  <c r="J75" i="17"/>
  <c r="K26" i="17"/>
  <c r="J76" i="17"/>
  <c r="I122" i="17"/>
  <c r="J121" i="17"/>
  <c r="K186" i="17"/>
  <c r="J35" i="17"/>
  <c r="M23" i="17"/>
  <c r="M183" i="17"/>
  <c r="O15" i="17"/>
  <c r="Q15" i="17" s="1"/>
  <c r="R15" i="17" s="1"/>
  <c r="J181" i="17"/>
  <c r="I75" i="17"/>
  <c r="I76" i="17"/>
  <c r="M122" i="17"/>
  <c r="J31" i="17"/>
  <c r="O31" i="17" s="1"/>
  <c r="Q31" i="17" s="1"/>
  <c r="R31" i="17" s="1"/>
  <c r="K34" i="17"/>
  <c r="I184" i="17"/>
  <c r="I186" i="17"/>
  <c r="M185" i="17"/>
  <c r="J188" i="17"/>
  <c r="I110" i="17"/>
  <c r="M110" i="17"/>
  <c r="J182" i="17"/>
  <c r="M182" i="17"/>
  <c r="J23" i="17"/>
  <c r="M130" i="17"/>
  <c r="I130" i="17"/>
  <c r="M27" i="17"/>
  <c r="J27" i="17"/>
  <c r="J183" i="17"/>
  <c r="M181" i="17"/>
  <c r="M180" i="17"/>
  <c r="M75" i="17"/>
  <c r="I26" i="17"/>
  <c r="K131" i="17"/>
  <c r="I121" i="17"/>
  <c r="M121" i="17"/>
  <c r="J109" i="17"/>
  <c r="K109" i="17"/>
  <c r="M34" i="17"/>
  <c r="J179" i="17"/>
  <c r="K184" i="17"/>
  <c r="J185" i="17"/>
  <c r="K185" i="17"/>
  <c r="M187" i="17"/>
  <c r="M188" i="17"/>
  <c r="J110" i="17"/>
  <c r="I35" i="17"/>
  <c r="I27" i="17"/>
  <c r="K183" i="17"/>
  <c r="I181" i="17"/>
  <c r="K75" i="17"/>
  <c r="J26" i="17"/>
  <c r="I131" i="17"/>
  <c r="I185" i="17"/>
  <c r="K187" i="17"/>
  <c r="K188" i="17"/>
  <c r="I182" i="17"/>
  <c r="K35" i="17"/>
  <c r="K130" i="17"/>
  <c r="K181" i="17"/>
  <c r="J122" i="17"/>
  <c r="J131" i="17"/>
  <c r="I109" i="17"/>
  <c r="M179" i="17"/>
  <c r="M184" i="17"/>
  <c r="J187" i="17"/>
  <c r="D18" i="17"/>
  <c r="H18" i="17" s="1"/>
  <c r="J184" i="17"/>
  <c r="M186" i="17"/>
  <c r="J186" i="17"/>
  <c r="I187" i="17"/>
  <c r="I188" i="17"/>
  <c r="K110" i="17"/>
  <c r="K182" i="17"/>
  <c r="M35" i="17"/>
  <c r="I23" i="17"/>
  <c r="K27" i="17"/>
  <c r="I183" i="17"/>
  <c r="K180" i="17"/>
  <c r="J180" i="17"/>
  <c r="M26" i="17"/>
  <c r="M76" i="17"/>
  <c r="K76" i="17"/>
  <c r="K122" i="17"/>
  <c r="M131" i="17"/>
  <c r="K121" i="17"/>
  <c r="M109" i="17"/>
  <c r="I34" i="17"/>
  <c r="K179" i="17"/>
  <c r="I179" i="17"/>
  <c r="O13" i="17"/>
  <c r="P13" i="17" s="1"/>
  <c r="C14" i="17"/>
  <c r="C12" i="6"/>
  <c r="E12" i="6" s="1"/>
  <c r="C12" i="9"/>
  <c r="E12" i="9" s="1"/>
  <c r="H54" i="24" l="1"/>
  <c r="I54" i="24" s="1"/>
  <c r="J126" i="32"/>
  <c r="N126" i="33" s="1"/>
  <c r="O126" i="33" s="1"/>
  <c r="P126" i="33" s="1"/>
  <c r="R126" i="33" s="1"/>
  <c r="J128" i="33"/>
  <c r="Q127" i="33"/>
  <c r="S127" i="33"/>
  <c r="R127" i="33"/>
  <c r="S141" i="33"/>
  <c r="R141" i="33"/>
  <c r="Q141" i="33"/>
  <c r="S151" i="33"/>
  <c r="Q151" i="33"/>
  <c r="R151" i="33"/>
  <c r="Q147" i="33"/>
  <c r="S147" i="33"/>
  <c r="R147" i="33"/>
  <c r="L127" i="33"/>
  <c r="K127" i="32"/>
  <c r="L141" i="33"/>
  <c r="K141" i="32"/>
  <c r="L151" i="33"/>
  <c r="K151" i="32"/>
  <c r="L147" i="33"/>
  <c r="K147" i="32"/>
  <c r="J128" i="32"/>
  <c r="N128" i="33" s="1"/>
  <c r="O128" i="33" s="1"/>
  <c r="P128" i="33" s="1"/>
  <c r="J126" i="33"/>
  <c r="K126" i="32"/>
  <c r="S140" i="33"/>
  <c r="R140" i="33"/>
  <c r="Q140" i="33"/>
  <c r="R146" i="33"/>
  <c r="S146" i="33"/>
  <c r="Q146" i="33"/>
  <c r="S148" i="33"/>
  <c r="Q148" i="33"/>
  <c r="R148" i="33"/>
  <c r="S150" i="33"/>
  <c r="R150" i="33"/>
  <c r="Q150" i="33"/>
  <c r="S149" i="33"/>
  <c r="R149" i="33"/>
  <c r="Q149" i="33"/>
  <c r="S152" i="33"/>
  <c r="Q152" i="33"/>
  <c r="R152" i="33"/>
  <c r="L140" i="33"/>
  <c r="K140" i="32"/>
  <c r="L146" i="33"/>
  <c r="K146" i="32"/>
  <c r="L148" i="33"/>
  <c r="K148" i="32"/>
  <c r="L150" i="33"/>
  <c r="K150" i="32"/>
  <c r="L149" i="33"/>
  <c r="K149" i="32"/>
  <c r="L152" i="33"/>
  <c r="K152" i="32"/>
  <c r="L52" i="33"/>
  <c r="J52" i="32"/>
  <c r="N52" i="33" s="1"/>
  <c r="O52" i="33" s="1"/>
  <c r="P52" i="33" s="1"/>
  <c r="Q31" i="33"/>
  <c r="R31" i="33"/>
  <c r="S31" i="33"/>
  <c r="I31" i="33"/>
  <c r="K31" i="32"/>
  <c r="Q26" i="33"/>
  <c r="Q24" i="33" s="1"/>
  <c r="R26" i="33"/>
  <c r="R24" i="33" s="1"/>
  <c r="S26" i="33"/>
  <c r="S24" i="33" s="1"/>
  <c r="L113" i="33"/>
  <c r="K113" i="32"/>
  <c r="Q113" i="33"/>
  <c r="S113" i="33"/>
  <c r="R113" i="33"/>
  <c r="H54" i="32"/>
  <c r="J54" i="32" s="1"/>
  <c r="N54" i="33" s="1"/>
  <c r="O54" i="33" s="1"/>
  <c r="P54" i="33" s="1"/>
  <c r="N114" i="33"/>
  <c r="O114" i="33" s="1"/>
  <c r="P114" i="33" s="1"/>
  <c r="L114" i="33"/>
  <c r="K114" i="32"/>
  <c r="N123" i="33"/>
  <c r="O123" i="33" s="1"/>
  <c r="P123" i="33" s="1"/>
  <c r="S115" i="33"/>
  <c r="R115" i="33"/>
  <c r="Q115" i="33"/>
  <c r="S118" i="33"/>
  <c r="Q118" i="33"/>
  <c r="R118" i="33"/>
  <c r="Q121" i="33"/>
  <c r="S121" i="33"/>
  <c r="R121" i="33"/>
  <c r="Q119" i="33"/>
  <c r="R119" i="33"/>
  <c r="S119" i="33"/>
  <c r="N116" i="33"/>
  <c r="O116" i="33" s="1"/>
  <c r="P116" i="33" s="1"/>
  <c r="L116" i="33"/>
  <c r="K116" i="32"/>
  <c r="S117" i="33"/>
  <c r="R117" i="33"/>
  <c r="Q117" i="33"/>
  <c r="N122" i="33"/>
  <c r="O122" i="33" s="1"/>
  <c r="P122" i="33" s="1"/>
  <c r="N120" i="33"/>
  <c r="O120" i="33" s="1"/>
  <c r="P120" i="33" s="1"/>
  <c r="L122" i="33"/>
  <c r="K122" i="32"/>
  <c r="L119" i="33"/>
  <c r="K119" i="32"/>
  <c r="L120" i="33"/>
  <c r="K120" i="32"/>
  <c r="L117" i="33"/>
  <c r="K117" i="32"/>
  <c r="L115" i="33"/>
  <c r="K115" i="32"/>
  <c r="L118" i="33"/>
  <c r="K118" i="32"/>
  <c r="L123" i="33"/>
  <c r="K123" i="32"/>
  <c r="L121" i="33"/>
  <c r="K121" i="32"/>
  <c r="K167" i="16"/>
  <c r="K81" i="16"/>
  <c r="K172" i="16"/>
  <c r="K163" i="16"/>
  <c r="K153" i="16"/>
  <c r="K69" i="16"/>
  <c r="K152" i="16"/>
  <c r="K73" i="16"/>
  <c r="K175" i="16"/>
  <c r="K166" i="16"/>
  <c r="K84" i="16"/>
  <c r="K60" i="16"/>
  <c r="K177" i="16"/>
  <c r="K127" i="16"/>
  <c r="K170" i="16"/>
  <c r="K157" i="16"/>
  <c r="K133" i="16"/>
  <c r="K85" i="16"/>
  <c r="K139" i="16"/>
  <c r="K68" i="16"/>
  <c r="K162" i="16"/>
  <c r="K128" i="16"/>
  <c r="K72" i="16"/>
  <c r="K150" i="16"/>
  <c r="K61" i="16"/>
  <c r="K173" i="16"/>
  <c r="K71" i="16"/>
  <c r="K74" i="16"/>
  <c r="K76" i="16"/>
  <c r="K151" i="16"/>
  <c r="K70" i="16"/>
  <c r="K50" i="16"/>
  <c r="K54" i="16"/>
  <c r="K156" i="16"/>
  <c r="K131" i="16"/>
  <c r="K140" i="16"/>
  <c r="K64" i="16"/>
  <c r="K58" i="16"/>
  <c r="K86" i="16"/>
  <c r="K159" i="16"/>
  <c r="K126" i="16"/>
  <c r="K158" i="16"/>
  <c r="K52" i="16"/>
  <c r="K75" i="16"/>
  <c r="K169" i="16"/>
  <c r="K90" i="16"/>
  <c r="K132" i="16"/>
  <c r="K134" i="16"/>
  <c r="K138" i="16"/>
  <c r="K62" i="16"/>
  <c r="K51" i="16"/>
  <c r="K141" i="16"/>
  <c r="K149" i="16"/>
  <c r="K135" i="16"/>
  <c r="K79" i="16"/>
  <c r="K82" i="16"/>
  <c r="K41" i="16"/>
  <c r="K165" i="16"/>
  <c r="K161" i="16"/>
  <c r="K155" i="16"/>
  <c r="K57" i="16"/>
  <c r="K56" i="16"/>
  <c r="K176" i="16"/>
  <c r="K179" i="16"/>
  <c r="K178" i="16"/>
  <c r="K49" i="16"/>
  <c r="K77" i="16"/>
  <c r="K65" i="16"/>
  <c r="K36" i="16"/>
  <c r="K185" i="16"/>
  <c r="K154" i="16"/>
  <c r="K130" i="16"/>
  <c r="K87" i="16"/>
  <c r="K174" i="16"/>
  <c r="K53" i="16"/>
  <c r="K83" i="16"/>
  <c r="K168" i="16"/>
  <c r="K164" i="16"/>
  <c r="K160" i="16"/>
  <c r="K78" i="16"/>
  <c r="K59" i="16"/>
  <c r="K171" i="16"/>
  <c r="K187" i="16"/>
  <c r="K180" i="16"/>
  <c r="K55" i="16"/>
  <c r="K67" i="16"/>
  <c r="K181" i="16"/>
  <c r="K125" i="16"/>
  <c r="K129" i="16"/>
  <c r="K63" i="16"/>
  <c r="K66" i="16"/>
  <c r="K80" i="16"/>
  <c r="N122" i="11"/>
  <c r="O122" i="11" s="1"/>
  <c r="P122" i="11" s="1"/>
  <c r="N48" i="17"/>
  <c r="O48" i="17" s="1"/>
  <c r="Q48" i="17" s="1"/>
  <c r="R48" i="17" s="1"/>
  <c r="T48" i="17" s="1"/>
  <c r="N188" i="17"/>
  <c r="O188" i="17" s="1"/>
  <c r="Q188" i="17" s="1"/>
  <c r="R188" i="17" s="1"/>
  <c r="N170" i="17"/>
  <c r="O170" i="17" s="1"/>
  <c r="Q170" i="17" s="1"/>
  <c r="R170" i="17" s="1"/>
  <c r="N125" i="17"/>
  <c r="O125" i="17" s="1"/>
  <c r="Q125" i="17" s="1"/>
  <c r="R125" i="17" s="1"/>
  <c r="S125" i="17" s="1"/>
  <c r="N121" i="11"/>
  <c r="O121" i="11" s="1"/>
  <c r="P121" i="11" s="1"/>
  <c r="N119" i="11"/>
  <c r="O119" i="11" s="1"/>
  <c r="P119" i="11" s="1"/>
  <c r="N148" i="11"/>
  <c r="O148" i="11" s="1"/>
  <c r="P148" i="11" s="1"/>
  <c r="N74" i="11"/>
  <c r="O74" i="11" s="1"/>
  <c r="P74" i="11" s="1"/>
  <c r="N168" i="11"/>
  <c r="O168" i="11" s="1"/>
  <c r="P168" i="11" s="1"/>
  <c r="S168" i="11" s="1"/>
  <c r="N184" i="11"/>
  <c r="O184" i="11" s="1"/>
  <c r="P184" i="11" s="1"/>
  <c r="N153" i="11"/>
  <c r="O153" i="11" s="1"/>
  <c r="P153" i="11" s="1"/>
  <c r="N162" i="11"/>
  <c r="O162" i="11" s="1"/>
  <c r="P162" i="11" s="1"/>
  <c r="N159" i="11"/>
  <c r="O159" i="11" s="1"/>
  <c r="P159" i="11" s="1"/>
  <c r="N31" i="11"/>
  <c r="O31" i="11" s="1"/>
  <c r="P31" i="11" s="1"/>
  <c r="N73" i="11"/>
  <c r="O73" i="11" s="1"/>
  <c r="P73" i="11" s="1"/>
  <c r="N185" i="11"/>
  <c r="O185" i="11" s="1"/>
  <c r="P185" i="11" s="1"/>
  <c r="N139" i="11"/>
  <c r="O139" i="11" s="1"/>
  <c r="P139" i="11" s="1"/>
  <c r="N148" i="17"/>
  <c r="O148" i="17" s="1"/>
  <c r="Q148" i="17" s="1"/>
  <c r="R148" i="17" s="1"/>
  <c r="N128" i="11"/>
  <c r="O128" i="11" s="1"/>
  <c r="P128" i="11" s="1"/>
  <c r="N46" i="11"/>
  <c r="O46" i="11" s="1"/>
  <c r="P46" i="11" s="1"/>
  <c r="N181" i="11"/>
  <c r="O181" i="11" s="1"/>
  <c r="P181" i="11" s="1"/>
  <c r="N171" i="17"/>
  <c r="O171" i="17" s="1"/>
  <c r="Q171" i="17" s="1"/>
  <c r="R171" i="17" s="1"/>
  <c r="N137" i="11"/>
  <c r="O137" i="11" s="1"/>
  <c r="P137" i="11" s="1"/>
  <c r="N114" i="11"/>
  <c r="O114" i="11" s="1"/>
  <c r="P114" i="11" s="1"/>
  <c r="N144" i="11"/>
  <c r="O144" i="11" s="1"/>
  <c r="P144" i="11" s="1"/>
  <c r="N138" i="11"/>
  <c r="O138" i="11" s="1"/>
  <c r="P138" i="11" s="1"/>
  <c r="N183" i="11"/>
  <c r="O183" i="11" s="1"/>
  <c r="P183" i="11" s="1"/>
  <c r="N143" i="11"/>
  <c r="O143" i="11" s="1"/>
  <c r="P143" i="11" s="1"/>
  <c r="N164" i="17"/>
  <c r="O164" i="17" s="1"/>
  <c r="Q164" i="17" s="1"/>
  <c r="R164" i="17" s="1"/>
  <c r="N126" i="17"/>
  <c r="O126" i="17" s="1"/>
  <c r="Q126" i="17" s="1"/>
  <c r="R126" i="17" s="1"/>
  <c r="S126" i="17" s="1"/>
  <c r="N167" i="17"/>
  <c r="O167" i="17" s="1"/>
  <c r="Q167" i="17" s="1"/>
  <c r="R167" i="17" s="1"/>
  <c r="N165" i="11"/>
  <c r="O165" i="11" s="1"/>
  <c r="P165" i="11" s="1"/>
  <c r="N120" i="11"/>
  <c r="O120" i="11" s="1"/>
  <c r="P120" i="11" s="1"/>
  <c r="N144" i="17"/>
  <c r="O144" i="17" s="1"/>
  <c r="Q144" i="17" s="1"/>
  <c r="R144" i="17" s="1"/>
  <c r="N142" i="17"/>
  <c r="O142" i="17" s="1"/>
  <c r="Q142" i="17" s="1"/>
  <c r="R142" i="17" s="1"/>
  <c r="N143" i="17"/>
  <c r="O143" i="17" s="1"/>
  <c r="Q143" i="17" s="1"/>
  <c r="R143" i="17" s="1"/>
  <c r="N149" i="17"/>
  <c r="O149" i="17" s="1"/>
  <c r="Q149" i="17" s="1"/>
  <c r="R149" i="17" s="1"/>
  <c r="N78" i="17"/>
  <c r="O78" i="17" s="1"/>
  <c r="Q78" i="17" s="1"/>
  <c r="R78" i="17" s="1"/>
  <c r="T78" i="17" s="1"/>
  <c r="N158" i="17"/>
  <c r="O158" i="17" s="1"/>
  <c r="Q158" i="17" s="1"/>
  <c r="R158" i="17" s="1"/>
  <c r="N166" i="11"/>
  <c r="N34" i="17"/>
  <c r="O34" i="17" s="1"/>
  <c r="Q34" i="17" s="1"/>
  <c r="R34" i="17" s="1"/>
  <c r="N186" i="17"/>
  <c r="O186" i="17" s="1"/>
  <c r="Q186" i="17" s="1"/>
  <c r="R186" i="17" s="1"/>
  <c r="N119" i="17"/>
  <c r="O119" i="17" s="1"/>
  <c r="Q119" i="17" s="1"/>
  <c r="R119" i="17" s="1"/>
  <c r="U119" i="17" s="1"/>
  <c r="N153" i="17"/>
  <c r="O153" i="17" s="1"/>
  <c r="Q153" i="17" s="1"/>
  <c r="R153" i="17" s="1"/>
  <c r="U153" i="17" s="1"/>
  <c r="N124" i="17"/>
  <c r="O124" i="17" s="1"/>
  <c r="Q124" i="17" s="1"/>
  <c r="R124" i="17" s="1"/>
  <c r="T124" i="17" s="1"/>
  <c r="N51" i="17"/>
  <c r="O51" i="17" s="1"/>
  <c r="Q51" i="17" s="1"/>
  <c r="R51" i="17" s="1"/>
  <c r="U51" i="17" s="1"/>
  <c r="N43" i="11"/>
  <c r="O43" i="11" s="1"/>
  <c r="N169" i="11"/>
  <c r="O169" i="11" s="1"/>
  <c r="N174" i="17"/>
  <c r="O174" i="17" s="1"/>
  <c r="P174" i="17" s="1"/>
  <c r="N173" i="11"/>
  <c r="O173" i="11" s="1"/>
  <c r="N178" i="17"/>
  <c r="O178" i="17" s="1"/>
  <c r="Q178" i="17" s="1"/>
  <c r="R178" i="17" s="1"/>
  <c r="S178" i="17" s="1"/>
  <c r="N152" i="11"/>
  <c r="O152" i="11" s="1"/>
  <c r="N157" i="17"/>
  <c r="O157" i="17" s="1"/>
  <c r="Q157" i="17" s="1"/>
  <c r="R157" i="17" s="1"/>
  <c r="N164" i="11"/>
  <c r="O164" i="11" s="1"/>
  <c r="N169" i="17"/>
  <c r="N113" i="11"/>
  <c r="O113" i="11" s="1"/>
  <c r="N118" i="17"/>
  <c r="O118" i="17" s="1"/>
  <c r="Q118" i="17" s="1"/>
  <c r="R118" i="17" s="1"/>
  <c r="U118" i="17" s="1"/>
  <c r="N118" i="11"/>
  <c r="O118" i="11" s="1"/>
  <c r="N123" i="17"/>
  <c r="O123" i="17" s="1"/>
  <c r="Q123" i="17" s="1"/>
  <c r="R123" i="17" s="1"/>
  <c r="S123" i="17" s="1"/>
  <c r="N163" i="11"/>
  <c r="O163" i="11" s="1"/>
  <c r="N168" i="17"/>
  <c r="O168" i="17" s="1"/>
  <c r="Q168" i="17" s="1"/>
  <c r="R168" i="17" s="1"/>
  <c r="N176" i="11"/>
  <c r="O176" i="11" s="1"/>
  <c r="N181" i="17"/>
  <c r="O181" i="17" s="1"/>
  <c r="Q181" i="17" s="1"/>
  <c r="R181" i="17" s="1"/>
  <c r="N179" i="11"/>
  <c r="O179" i="11" s="1"/>
  <c r="N184" i="17"/>
  <c r="O184" i="17" s="1"/>
  <c r="Q184" i="17" s="1"/>
  <c r="R184" i="17" s="1"/>
  <c r="N155" i="11"/>
  <c r="O155" i="11" s="1"/>
  <c r="N160" i="17"/>
  <c r="O160" i="17" s="1"/>
  <c r="Q160" i="17" s="1"/>
  <c r="R160" i="17" s="1"/>
  <c r="N126" i="11"/>
  <c r="O126" i="11" s="1"/>
  <c r="N131" i="17"/>
  <c r="O131" i="17" s="1"/>
  <c r="Q131" i="17" s="1"/>
  <c r="R131" i="17" s="1"/>
  <c r="N78" i="11"/>
  <c r="O78" i="11" s="1"/>
  <c r="N83" i="17"/>
  <c r="O83" i="17" s="1"/>
  <c r="Q83" i="17" s="1"/>
  <c r="R83" i="17" s="1"/>
  <c r="U83" i="17" s="1"/>
  <c r="N150" i="11"/>
  <c r="O150" i="11" s="1"/>
  <c r="N155" i="17"/>
  <c r="O155" i="17" s="1"/>
  <c r="Q155" i="17" s="1"/>
  <c r="R155" i="17" s="1"/>
  <c r="S155" i="17" s="1"/>
  <c r="N146" i="11"/>
  <c r="O146" i="11" s="1"/>
  <c r="N151" i="17"/>
  <c r="O151" i="17" s="1"/>
  <c r="Q151" i="17" s="1"/>
  <c r="R151" i="17" s="1"/>
  <c r="T151" i="17" s="1"/>
  <c r="N142" i="11"/>
  <c r="O142" i="11" s="1"/>
  <c r="N147" i="17"/>
  <c r="O147" i="17" s="1"/>
  <c r="Q147" i="17" s="1"/>
  <c r="R147" i="17" s="1"/>
  <c r="N117" i="11"/>
  <c r="O117" i="11" s="1"/>
  <c r="N122" i="17"/>
  <c r="O122" i="17" s="1"/>
  <c r="N158" i="11"/>
  <c r="O158" i="11" s="1"/>
  <c r="N163" i="17"/>
  <c r="O163" i="17" s="1"/>
  <c r="Q163" i="17" s="1"/>
  <c r="R163" i="17" s="1"/>
  <c r="N161" i="11"/>
  <c r="O161" i="11" s="1"/>
  <c r="N166" i="17"/>
  <c r="O166" i="17" s="1"/>
  <c r="Q166" i="17" s="1"/>
  <c r="R166" i="17" s="1"/>
  <c r="N160" i="11"/>
  <c r="O160" i="11" s="1"/>
  <c r="N165" i="17"/>
  <c r="O165" i="17" s="1"/>
  <c r="Q165" i="17" s="1"/>
  <c r="R165" i="17" s="1"/>
  <c r="N154" i="11"/>
  <c r="O154" i="11" s="1"/>
  <c r="N159" i="17"/>
  <c r="N157" i="11"/>
  <c r="O157" i="11" s="1"/>
  <c r="N162" i="17"/>
  <c r="N115" i="11"/>
  <c r="O115" i="11" s="1"/>
  <c r="N120" i="17"/>
  <c r="O120" i="17" s="1"/>
  <c r="Q120" i="17" s="1"/>
  <c r="R120" i="17" s="1"/>
  <c r="S120" i="17" s="1"/>
  <c r="N116" i="11"/>
  <c r="O116" i="11" s="1"/>
  <c r="N121" i="17"/>
  <c r="O121" i="17" s="1"/>
  <c r="Q121" i="17" s="1"/>
  <c r="R121" i="17" s="1"/>
  <c r="N178" i="11"/>
  <c r="O178" i="11" s="1"/>
  <c r="N183" i="17"/>
  <c r="O183" i="17" s="1"/>
  <c r="P183" i="17" s="1"/>
  <c r="N145" i="11"/>
  <c r="O145" i="11" s="1"/>
  <c r="N150" i="17"/>
  <c r="O150" i="17" s="1"/>
  <c r="Q150" i="17" s="1"/>
  <c r="R150" i="17" s="1"/>
  <c r="T150" i="17" s="1"/>
  <c r="N140" i="11"/>
  <c r="O140" i="11" s="1"/>
  <c r="N145" i="17"/>
  <c r="O145" i="17" s="1"/>
  <c r="N167" i="11"/>
  <c r="O167" i="11" s="1"/>
  <c r="N172" i="17"/>
  <c r="O172" i="17" s="1"/>
  <c r="Q172" i="17" s="1"/>
  <c r="R172" i="17" s="1"/>
  <c r="N75" i="11"/>
  <c r="O75" i="11" s="1"/>
  <c r="N80" i="17"/>
  <c r="O80" i="17" s="1"/>
  <c r="P80" i="17" s="1"/>
  <c r="N147" i="11"/>
  <c r="O147" i="11" s="1"/>
  <c r="N152" i="17"/>
  <c r="O152" i="17" s="1"/>
  <c r="Q152" i="17" s="1"/>
  <c r="R152" i="17" s="1"/>
  <c r="T152" i="17" s="1"/>
  <c r="N129" i="11"/>
  <c r="O129" i="11" s="1"/>
  <c r="N134" i="17"/>
  <c r="O134" i="17" s="1"/>
  <c r="P134" i="17" s="1"/>
  <c r="N149" i="11"/>
  <c r="O149" i="11" s="1"/>
  <c r="N154" i="17"/>
  <c r="O154" i="17" s="1"/>
  <c r="Q154" i="17" s="1"/>
  <c r="R154" i="17" s="1"/>
  <c r="U154" i="17" s="1"/>
  <c r="N141" i="11"/>
  <c r="O141" i="11" s="1"/>
  <c r="N146" i="17"/>
  <c r="N127" i="11"/>
  <c r="O127" i="11" s="1"/>
  <c r="N132" i="17"/>
  <c r="O132" i="17" s="1"/>
  <c r="Q132" i="17" s="1"/>
  <c r="R132" i="17" s="1"/>
  <c r="U132" i="17" s="1"/>
  <c r="N156" i="11"/>
  <c r="O156" i="11" s="1"/>
  <c r="N161" i="17"/>
  <c r="O161" i="17" s="1"/>
  <c r="N182" i="11"/>
  <c r="O182" i="11" s="1"/>
  <c r="N187" i="17"/>
  <c r="O187" i="17" s="1"/>
  <c r="Q187" i="17" s="1"/>
  <c r="R187" i="17" s="1"/>
  <c r="N177" i="11"/>
  <c r="O177" i="11" s="1"/>
  <c r="N182" i="17"/>
  <c r="O182" i="17" s="1"/>
  <c r="Q182" i="17" s="1"/>
  <c r="R182" i="17" s="1"/>
  <c r="N175" i="11"/>
  <c r="O175" i="11" s="1"/>
  <c r="N180" i="17"/>
  <c r="O180" i="17" s="1"/>
  <c r="Q180" i="17" s="1"/>
  <c r="R180" i="17" s="1"/>
  <c r="N151" i="11"/>
  <c r="O151" i="11" s="1"/>
  <c r="N156" i="17"/>
  <c r="O156" i="17" s="1"/>
  <c r="N123" i="11"/>
  <c r="O123" i="11" s="1"/>
  <c r="N128" i="17"/>
  <c r="O128" i="17" s="1"/>
  <c r="P128" i="17" s="1"/>
  <c r="N47" i="11"/>
  <c r="O47" i="11" s="1"/>
  <c r="N52" i="17"/>
  <c r="O52" i="17" s="1"/>
  <c r="Q52" i="17" s="1"/>
  <c r="R52" i="17" s="1"/>
  <c r="T52" i="17" s="1"/>
  <c r="N67" i="11"/>
  <c r="O67" i="11" s="1"/>
  <c r="N72" i="17"/>
  <c r="O72" i="17" s="1"/>
  <c r="P72" i="17" s="1"/>
  <c r="N71" i="11"/>
  <c r="O71" i="11" s="1"/>
  <c r="N76" i="17"/>
  <c r="O76" i="17" s="1"/>
  <c r="Q76" i="17" s="1"/>
  <c r="R76" i="17" s="1"/>
  <c r="N58" i="11"/>
  <c r="O58" i="11" s="1"/>
  <c r="N63" i="17"/>
  <c r="O63" i="17" s="1"/>
  <c r="Q63" i="17" s="1"/>
  <c r="R63" i="17" s="1"/>
  <c r="U63" i="17" s="1"/>
  <c r="N50" i="11"/>
  <c r="O50" i="11" s="1"/>
  <c r="N55" i="17"/>
  <c r="O55" i="17" s="1"/>
  <c r="Q55" i="17" s="1"/>
  <c r="R55" i="17" s="1"/>
  <c r="S55" i="17" s="1"/>
  <c r="N41" i="11"/>
  <c r="O41" i="11" s="1"/>
  <c r="N46" i="17"/>
  <c r="O46" i="17" s="1"/>
  <c r="Q46" i="17" s="1"/>
  <c r="R46" i="17" s="1"/>
  <c r="S46" i="17" s="1"/>
  <c r="N65" i="11"/>
  <c r="O65" i="11" s="1"/>
  <c r="N70" i="17"/>
  <c r="O70" i="17" s="1"/>
  <c r="Q70" i="17" s="1"/>
  <c r="R70" i="17" s="1"/>
  <c r="T70" i="17" s="1"/>
  <c r="N63" i="11"/>
  <c r="O63" i="11" s="1"/>
  <c r="N68" i="17"/>
  <c r="O68" i="17" s="1"/>
  <c r="P68" i="17" s="1"/>
  <c r="N68" i="11"/>
  <c r="O68" i="11" s="1"/>
  <c r="N73" i="17"/>
  <c r="O73" i="17" s="1"/>
  <c r="Q73" i="17" s="1"/>
  <c r="R73" i="17" s="1"/>
  <c r="T73" i="17" s="1"/>
  <c r="N40" i="11"/>
  <c r="O40" i="11" s="1"/>
  <c r="N45" i="17"/>
  <c r="O45" i="17" s="1"/>
  <c r="Q45" i="17" s="1"/>
  <c r="R45" i="17" s="1"/>
  <c r="U45" i="17" s="1"/>
  <c r="N52" i="11"/>
  <c r="O52" i="11" s="1"/>
  <c r="N57" i="17"/>
  <c r="O57" i="17" s="1"/>
  <c r="Q57" i="17" s="1"/>
  <c r="R57" i="17" s="1"/>
  <c r="U57" i="17" s="1"/>
  <c r="N48" i="11"/>
  <c r="O48" i="11" s="1"/>
  <c r="N53" i="17"/>
  <c r="O53" i="17" s="1"/>
  <c r="Q53" i="17" s="1"/>
  <c r="R53" i="17" s="1"/>
  <c r="T53" i="17" s="1"/>
  <c r="N44" i="11"/>
  <c r="O44" i="11" s="1"/>
  <c r="N49" i="17"/>
  <c r="O49" i="17" s="1"/>
  <c r="Q49" i="17" s="1"/>
  <c r="R49" i="17" s="1"/>
  <c r="T49" i="17" s="1"/>
  <c r="N72" i="11"/>
  <c r="O72" i="11" s="1"/>
  <c r="N77" i="17"/>
  <c r="O77" i="17" s="1"/>
  <c r="Q77" i="17" s="1"/>
  <c r="R77" i="17" s="1"/>
  <c r="U77" i="17" s="1"/>
  <c r="N45" i="11"/>
  <c r="O45" i="11" s="1"/>
  <c r="N50" i="17"/>
  <c r="O50" i="17" s="1"/>
  <c r="Q50" i="17" s="1"/>
  <c r="R50" i="17" s="1"/>
  <c r="T50" i="17" s="1"/>
  <c r="N37" i="11"/>
  <c r="O37" i="11" s="1"/>
  <c r="N42" i="17"/>
  <c r="O42" i="17" s="1"/>
  <c r="P42" i="17" s="1"/>
  <c r="N61" i="11"/>
  <c r="O61" i="11" s="1"/>
  <c r="N66" i="17"/>
  <c r="O66" i="17" s="1"/>
  <c r="Q66" i="17" s="1"/>
  <c r="R66" i="17" s="1"/>
  <c r="T66" i="17" s="1"/>
  <c r="N62" i="11"/>
  <c r="O62" i="11" s="1"/>
  <c r="N67" i="17"/>
  <c r="O67" i="17" s="1"/>
  <c r="Q67" i="17" s="1"/>
  <c r="R67" i="17" s="1"/>
  <c r="S67" i="17" s="1"/>
  <c r="N51" i="11"/>
  <c r="O51" i="11" s="1"/>
  <c r="N56" i="17"/>
  <c r="O56" i="17" s="1"/>
  <c r="Q56" i="17" s="1"/>
  <c r="R56" i="17" s="1"/>
  <c r="U56" i="17" s="1"/>
  <c r="N70" i="11"/>
  <c r="O70" i="11" s="1"/>
  <c r="N75" i="17"/>
  <c r="O75" i="17" s="1"/>
  <c r="Q75" i="17" s="1"/>
  <c r="R75" i="17" s="1"/>
  <c r="N56" i="11"/>
  <c r="O56" i="11" s="1"/>
  <c r="N61" i="17"/>
  <c r="O61" i="17" s="1"/>
  <c r="Q61" i="17" s="1"/>
  <c r="R61" i="17" s="1"/>
  <c r="U61" i="17" s="1"/>
  <c r="N38" i="11"/>
  <c r="O38" i="11" s="1"/>
  <c r="N43" i="17"/>
  <c r="O43" i="17" s="1"/>
  <c r="Q43" i="17" s="1"/>
  <c r="R43" i="17" s="1"/>
  <c r="U43" i="17" s="1"/>
  <c r="N59" i="11"/>
  <c r="O59" i="11" s="1"/>
  <c r="N64" i="17"/>
  <c r="O64" i="17" s="1"/>
  <c r="Q64" i="17" s="1"/>
  <c r="R64" i="17" s="1"/>
  <c r="S64" i="17" s="1"/>
  <c r="N39" i="11"/>
  <c r="O39" i="11" s="1"/>
  <c r="N44" i="17"/>
  <c r="O44" i="17" s="1"/>
  <c r="Q44" i="17" s="1"/>
  <c r="R44" i="17" s="1"/>
  <c r="S44" i="17" s="1"/>
  <c r="N69" i="11"/>
  <c r="O69" i="11" s="1"/>
  <c r="N74" i="17"/>
  <c r="O74" i="17" s="1"/>
  <c r="Q74" i="17" s="1"/>
  <c r="R74" i="17" s="1"/>
  <c r="T74" i="17" s="1"/>
  <c r="N42" i="11"/>
  <c r="O42" i="11" s="1"/>
  <c r="N47" i="17"/>
  <c r="O47" i="17" s="1"/>
  <c r="Q47" i="17" s="1"/>
  <c r="R47" i="17" s="1"/>
  <c r="T47" i="17" s="1"/>
  <c r="N64" i="11"/>
  <c r="O64" i="11" s="1"/>
  <c r="N69" i="17"/>
  <c r="O69" i="17" s="1"/>
  <c r="Q69" i="17" s="1"/>
  <c r="R69" i="17" s="1"/>
  <c r="T69" i="17" s="1"/>
  <c r="N66" i="11"/>
  <c r="O66" i="11" s="1"/>
  <c r="N71" i="17"/>
  <c r="O71" i="17" s="1"/>
  <c r="Q71" i="17" s="1"/>
  <c r="R71" i="17" s="1"/>
  <c r="U71" i="17" s="1"/>
  <c r="N57" i="11"/>
  <c r="O57" i="11" s="1"/>
  <c r="N62" i="17"/>
  <c r="O62" i="17" s="1"/>
  <c r="P62" i="17" s="1"/>
  <c r="N60" i="11"/>
  <c r="O60" i="11" s="1"/>
  <c r="N65" i="17"/>
  <c r="O65" i="17" s="1"/>
  <c r="Q65" i="17" s="1"/>
  <c r="R65" i="17" s="1"/>
  <c r="U65" i="17" s="1"/>
  <c r="N53" i="11"/>
  <c r="O53" i="11" s="1"/>
  <c r="N58" i="17"/>
  <c r="O58" i="17" s="1"/>
  <c r="Q58" i="17" s="1"/>
  <c r="R58" i="17" s="1"/>
  <c r="U58" i="17" s="1"/>
  <c r="N54" i="11"/>
  <c r="O54" i="11" s="1"/>
  <c r="N59" i="17"/>
  <c r="O59" i="17" s="1"/>
  <c r="Q59" i="17" s="1"/>
  <c r="R59" i="17" s="1"/>
  <c r="U59" i="17" s="1"/>
  <c r="N55" i="11"/>
  <c r="O55" i="11" s="1"/>
  <c r="N60" i="17"/>
  <c r="O60" i="17" s="1"/>
  <c r="Q60" i="17" s="1"/>
  <c r="R60" i="17" s="1"/>
  <c r="S60" i="17" s="1"/>
  <c r="N49" i="11"/>
  <c r="O49" i="11" s="1"/>
  <c r="N54" i="17"/>
  <c r="O54" i="17" s="1"/>
  <c r="Q54" i="17" s="1"/>
  <c r="R54" i="17" s="1"/>
  <c r="N26" i="11"/>
  <c r="O26" i="11" s="1"/>
  <c r="N27" i="17"/>
  <c r="O27" i="17" s="1"/>
  <c r="Q27" i="17" s="1"/>
  <c r="R27" i="17" s="1"/>
  <c r="O92" i="17"/>
  <c r="Q92" i="17" s="1"/>
  <c r="R92" i="17" s="1"/>
  <c r="U92" i="17" s="1"/>
  <c r="O105" i="17"/>
  <c r="Q105" i="17" s="1"/>
  <c r="R105" i="17" s="1"/>
  <c r="S105" i="17" s="1"/>
  <c r="O82" i="17"/>
  <c r="P82" i="17" s="1"/>
  <c r="O87" i="17"/>
  <c r="Q87" i="17" s="1"/>
  <c r="R87" i="17" s="1"/>
  <c r="U87" i="17" s="1"/>
  <c r="O107" i="17"/>
  <c r="Q107" i="17" s="1"/>
  <c r="R107" i="17" s="1"/>
  <c r="U107" i="17" s="1"/>
  <c r="O81" i="17"/>
  <c r="Q81" i="17" s="1"/>
  <c r="R81" i="17" s="1"/>
  <c r="U81" i="17" s="1"/>
  <c r="O90" i="17"/>
  <c r="Q90" i="17" s="1"/>
  <c r="R90" i="17" s="1"/>
  <c r="S90" i="17" s="1"/>
  <c r="O104" i="17"/>
  <c r="Q104" i="17" s="1"/>
  <c r="R104" i="17" s="1"/>
  <c r="S104" i="17" s="1"/>
  <c r="O84" i="17"/>
  <c r="P84" i="17" s="1"/>
  <c r="O85" i="17"/>
  <c r="Q85" i="17" s="1"/>
  <c r="R85" i="17" s="1"/>
  <c r="S85" i="17" s="1"/>
  <c r="O113" i="17"/>
  <c r="Q113" i="17" s="1"/>
  <c r="R113" i="17" s="1"/>
  <c r="T113" i="17" s="1"/>
  <c r="O141" i="17"/>
  <c r="Q141" i="17" s="1"/>
  <c r="R141" i="17" s="1"/>
  <c r="S141" i="17" s="1"/>
  <c r="O106" i="17"/>
  <c r="Q106" i="17" s="1"/>
  <c r="R106" i="17" s="1"/>
  <c r="T106" i="17" s="1"/>
  <c r="O101" i="17"/>
  <c r="Q101" i="17" s="1"/>
  <c r="R101" i="17" s="1"/>
  <c r="S101" i="17" s="1"/>
  <c r="O97" i="17"/>
  <c r="Q97" i="17" s="1"/>
  <c r="R97" i="17" s="1"/>
  <c r="S97" i="17" s="1"/>
  <c r="O102" i="17"/>
  <c r="P102" i="17" s="1"/>
  <c r="O95" i="17"/>
  <c r="Q95" i="17" s="1"/>
  <c r="R95" i="17" s="1"/>
  <c r="U95" i="17" s="1"/>
  <c r="O140" i="17"/>
  <c r="Q140" i="17" s="1"/>
  <c r="R140" i="17" s="1"/>
  <c r="S140" i="17" s="1"/>
  <c r="O89" i="17"/>
  <c r="Q89" i="17" s="1"/>
  <c r="R89" i="17" s="1"/>
  <c r="U89" i="17" s="1"/>
  <c r="O139" i="17"/>
  <c r="Q139" i="17" s="1"/>
  <c r="R139" i="17" s="1"/>
  <c r="T139" i="17" s="1"/>
  <c r="O116" i="17"/>
  <c r="Q116" i="17" s="1"/>
  <c r="R116" i="17" s="1"/>
  <c r="S116" i="17" s="1"/>
  <c r="O96" i="17"/>
  <c r="Q96" i="17" s="1"/>
  <c r="R96" i="17" s="1"/>
  <c r="U96" i="17" s="1"/>
  <c r="O100" i="17"/>
  <c r="Q100" i="17" s="1"/>
  <c r="R100" i="17" s="1"/>
  <c r="T100" i="17" s="1"/>
  <c r="O91" i="17"/>
  <c r="Q91" i="17" s="1"/>
  <c r="R91" i="17" s="1"/>
  <c r="S91" i="17" s="1"/>
  <c r="O86" i="17"/>
  <c r="P86" i="17" s="1"/>
  <c r="O22" i="17"/>
  <c r="P22" i="17" s="1"/>
  <c r="O129" i="17"/>
  <c r="Q129" i="17" s="1"/>
  <c r="R129" i="17" s="1"/>
  <c r="S129" i="17" s="1"/>
  <c r="O117" i="17"/>
  <c r="Q117" i="17" s="1"/>
  <c r="R117" i="17" s="1"/>
  <c r="T117" i="17" s="1"/>
  <c r="O94" i="17"/>
  <c r="Q94" i="17" s="1"/>
  <c r="R94" i="17" s="1"/>
  <c r="S94" i="17" s="1"/>
  <c r="O33" i="17"/>
  <c r="Q33" i="17" s="1"/>
  <c r="R33" i="17" s="1"/>
  <c r="S33" i="17" s="1"/>
  <c r="O135" i="17"/>
  <c r="Q135" i="17" s="1"/>
  <c r="R135" i="17" s="1"/>
  <c r="U135" i="17" s="1"/>
  <c r="O39" i="17"/>
  <c r="Q39" i="17" s="1"/>
  <c r="R39" i="17" s="1"/>
  <c r="S39" i="17" s="1"/>
  <c r="O111" i="17"/>
  <c r="Q111" i="17" s="1"/>
  <c r="R111" i="17" s="1"/>
  <c r="U111" i="17" s="1"/>
  <c r="O40" i="17"/>
  <c r="Q40" i="17" s="1"/>
  <c r="R40" i="17" s="1"/>
  <c r="U40" i="17" s="1"/>
  <c r="O108" i="17"/>
  <c r="Q108" i="17" s="1"/>
  <c r="R108" i="17" s="1"/>
  <c r="S108" i="17" s="1"/>
  <c r="O112" i="17"/>
  <c r="P112" i="17" s="1"/>
  <c r="O99" i="17"/>
  <c r="Q99" i="17" s="1"/>
  <c r="R99" i="17" s="1"/>
  <c r="T99" i="17" s="1"/>
  <c r="O103" i="17"/>
  <c r="Q103" i="17" s="1"/>
  <c r="R103" i="17" s="1"/>
  <c r="T103" i="17" s="1"/>
  <c r="O32" i="17"/>
  <c r="Q32" i="17" s="1"/>
  <c r="R32" i="17" s="1"/>
  <c r="T32" i="17" s="1"/>
  <c r="O41" i="17"/>
  <c r="Q41" i="17" s="1"/>
  <c r="R41" i="17" s="1"/>
  <c r="T41" i="17" s="1"/>
  <c r="O136" i="17"/>
  <c r="Q136" i="17" s="1"/>
  <c r="R136" i="17" s="1"/>
  <c r="S136" i="17" s="1"/>
  <c r="O88" i="17"/>
  <c r="Q88" i="17" s="1"/>
  <c r="R88" i="17" s="1"/>
  <c r="U88" i="17" s="1"/>
  <c r="O93" i="17"/>
  <c r="Q93" i="17" s="1"/>
  <c r="R93" i="17" s="1"/>
  <c r="T93" i="17" s="1"/>
  <c r="O98" i="17"/>
  <c r="Q98" i="17" s="1"/>
  <c r="R98" i="17" s="1"/>
  <c r="P17" i="17"/>
  <c r="P31" i="17"/>
  <c r="Q16" i="17"/>
  <c r="R16" i="17" s="1"/>
  <c r="U16" i="17" s="1"/>
  <c r="O26" i="17"/>
  <c r="P26" i="17" s="1"/>
  <c r="U15" i="17"/>
  <c r="T15" i="17"/>
  <c r="S15" i="17"/>
  <c r="O109" i="17"/>
  <c r="Q109" i="17" s="1"/>
  <c r="R109" i="17" s="1"/>
  <c r="O185" i="17"/>
  <c r="Q185" i="17" s="1"/>
  <c r="R185" i="17" s="1"/>
  <c r="J18" i="17"/>
  <c r="K18" i="17"/>
  <c r="M18" i="17"/>
  <c r="L18" i="17"/>
  <c r="I18" i="17"/>
  <c r="O130" i="17"/>
  <c r="Q130" i="17" s="1"/>
  <c r="R130" i="17" s="1"/>
  <c r="P15" i="17"/>
  <c r="O110" i="17"/>
  <c r="Q110" i="17" s="1"/>
  <c r="R110" i="17" s="1"/>
  <c r="T31" i="17"/>
  <c r="S31" i="17"/>
  <c r="U31" i="17"/>
  <c r="D14" i="17"/>
  <c r="H14" i="17" s="1"/>
  <c r="Q126" i="33" l="1"/>
  <c r="S126" i="33"/>
  <c r="Q135" i="33"/>
  <c r="R135" i="33"/>
  <c r="S135" i="33"/>
  <c r="S128" i="33"/>
  <c r="S125" i="33" s="1"/>
  <c r="Q128" i="33"/>
  <c r="R128" i="33"/>
  <c r="R125" i="33" s="1"/>
  <c r="K128" i="32"/>
  <c r="S52" i="33"/>
  <c r="R52" i="33"/>
  <c r="Q52" i="33"/>
  <c r="K52" i="32"/>
  <c r="R54" i="33"/>
  <c r="Q54" i="33"/>
  <c r="S54" i="33"/>
  <c r="L54" i="33"/>
  <c r="K54" i="32"/>
  <c r="S114" i="33"/>
  <c r="R114" i="33"/>
  <c r="Q114" i="33"/>
  <c r="R116" i="33"/>
  <c r="Q116" i="33"/>
  <c r="S116" i="33"/>
  <c r="Q122" i="33"/>
  <c r="R122" i="33"/>
  <c r="S122" i="33"/>
  <c r="Q123" i="33"/>
  <c r="S123" i="33"/>
  <c r="R123" i="33"/>
  <c r="Q120" i="33"/>
  <c r="R120" i="33"/>
  <c r="S120" i="33"/>
  <c r="C33" i="26"/>
  <c r="D33" i="26" s="1"/>
  <c r="F33" i="26" s="1"/>
  <c r="G33" i="26" s="1"/>
  <c r="C13" i="26"/>
  <c r="C53" i="26"/>
  <c r="D53" i="26" s="1"/>
  <c r="F53" i="26" s="1"/>
  <c r="G53" i="26" s="1"/>
  <c r="M10" i="26"/>
  <c r="N10" i="26"/>
  <c r="O10" i="26"/>
  <c r="R128" i="11"/>
  <c r="S128" i="11"/>
  <c r="Q128" i="11"/>
  <c r="O166" i="11"/>
  <c r="P166" i="11" s="1"/>
  <c r="Q166" i="11" s="1"/>
  <c r="P92" i="17"/>
  <c r="P111" i="17"/>
  <c r="P105" i="17"/>
  <c r="U94" i="17"/>
  <c r="R121" i="11"/>
  <c r="S121" i="11"/>
  <c r="R162" i="11"/>
  <c r="S162" i="11"/>
  <c r="Q162" i="11"/>
  <c r="S122" i="11"/>
  <c r="R122" i="11"/>
  <c r="R144" i="11"/>
  <c r="S144" i="11"/>
  <c r="S46" i="11"/>
  <c r="R46" i="11"/>
  <c r="Q185" i="11"/>
  <c r="S185" i="11"/>
  <c r="T92" i="17"/>
  <c r="Q181" i="11"/>
  <c r="R181" i="11"/>
  <c r="S181" i="11"/>
  <c r="R184" i="11"/>
  <c r="Q184" i="11"/>
  <c r="S184" i="11"/>
  <c r="R183" i="11"/>
  <c r="Q183" i="11"/>
  <c r="S183" i="11"/>
  <c r="P182" i="11"/>
  <c r="R185" i="11"/>
  <c r="P176" i="11"/>
  <c r="P175" i="11"/>
  <c r="P179" i="11"/>
  <c r="P177" i="11"/>
  <c r="P178" i="11"/>
  <c r="P173" i="11"/>
  <c r="S138" i="11"/>
  <c r="R138" i="11"/>
  <c r="Q138" i="11"/>
  <c r="Q165" i="11"/>
  <c r="R165" i="11"/>
  <c r="S165" i="11"/>
  <c r="Q153" i="11"/>
  <c r="S153" i="11"/>
  <c r="R153" i="11"/>
  <c r="R137" i="11"/>
  <c r="Q137" i="11"/>
  <c r="S137" i="11"/>
  <c r="Q148" i="11"/>
  <c r="S148" i="11"/>
  <c r="R148" i="11"/>
  <c r="S143" i="11"/>
  <c r="R143" i="11"/>
  <c r="Q143" i="11"/>
  <c r="R159" i="11"/>
  <c r="S159" i="11"/>
  <c r="Q159" i="11"/>
  <c r="Q139" i="11"/>
  <c r="S139" i="11"/>
  <c r="R139" i="11"/>
  <c r="P149" i="11"/>
  <c r="P167" i="11"/>
  <c r="P163" i="11"/>
  <c r="R163" i="11" s="1"/>
  <c r="P169" i="11"/>
  <c r="P141" i="11"/>
  <c r="P147" i="11"/>
  <c r="Q144" i="11"/>
  <c r="Q168" i="11"/>
  <c r="P164" i="11"/>
  <c r="P151" i="11"/>
  <c r="P156" i="11"/>
  <c r="P140" i="11"/>
  <c r="P154" i="11"/>
  <c r="P167" i="17"/>
  <c r="P158" i="11"/>
  <c r="P142" i="11"/>
  <c r="P150" i="11"/>
  <c r="R168" i="11"/>
  <c r="P145" i="11"/>
  <c r="S145" i="11" s="1"/>
  <c r="P157" i="11"/>
  <c r="P160" i="11"/>
  <c r="P161" i="11"/>
  <c r="P146" i="11"/>
  <c r="P155" i="11"/>
  <c r="P152" i="11"/>
  <c r="S152" i="11" s="1"/>
  <c r="P126" i="11"/>
  <c r="P127" i="11"/>
  <c r="P129" i="11"/>
  <c r="Q114" i="11"/>
  <c r="S114" i="11"/>
  <c r="R114" i="11"/>
  <c r="Q120" i="11"/>
  <c r="S120" i="11"/>
  <c r="R120" i="11"/>
  <c r="S119" i="11"/>
  <c r="R119" i="11"/>
  <c r="Q119" i="11"/>
  <c r="Q121" i="11"/>
  <c r="P115" i="11"/>
  <c r="P118" i="11"/>
  <c r="Q122" i="11"/>
  <c r="P123" i="11"/>
  <c r="S123" i="11" s="1"/>
  <c r="P120" i="17"/>
  <c r="P117" i="11"/>
  <c r="P113" i="11"/>
  <c r="T120" i="17"/>
  <c r="P116" i="11"/>
  <c r="P78" i="11"/>
  <c r="S73" i="11"/>
  <c r="R73" i="11"/>
  <c r="Q73" i="11"/>
  <c r="R74" i="11"/>
  <c r="Q74" i="11"/>
  <c r="S74" i="11"/>
  <c r="P54" i="11"/>
  <c r="P69" i="11"/>
  <c r="P75" i="11"/>
  <c r="P53" i="11"/>
  <c r="P57" i="11"/>
  <c r="P64" i="11"/>
  <c r="P70" i="11"/>
  <c r="P72" i="11"/>
  <c r="P63" i="11"/>
  <c r="P58" i="11"/>
  <c r="P41" i="11"/>
  <c r="Q46" i="11"/>
  <c r="P43" i="11"/>
  <c r="P59" i="11"/>
  <c r="Q59" i="11" s="1"/>
  <c r="P49" i="11"/>
  <c r="P38" i="11"/>
  <c r="P62" i="11"/>
  <c r="P37" i="11"/>
  <c r="P48" i="11"/>
  <c r="P40" i="11"/>
  <c r="P67" i="11"/>
  <c r="P55" i="11"/>
  <c r="Q55" i="11" s="1"/>
  <c r="P42" i="11"/>
  <c r="Q42" i="11" s="1"/>
  <c r="P39" i="11"/>
  <c r="P60" i="11"/>
  <c r="P66" i="11"/>
  <c r="P56" i="11"/>
  <c r="P51" i="11"/>
  <c r="Q51" i="11" s="1"/>
  <c r="P61" i="11"/>
  <c r="P45" i="11"/>
  <c r="P44" i="11"/>
  <c r="P52" i="11"/>
  <c r="S52" i="11" s="1"/>
  <c r="P68" i="11"/>
  <c r="P65" i="11"/>
  <c r="P50" i="11"/>
  <c r="P71" i="11"/>
  <c r="Q71" i="11" s="1"/>
  <c r="P47" i="11"/>
  <c r="S31" i="11"/>
  <c r="Q31" i="11"/>
  <c r="R31" i="11"/>
  <c r="P26" i="11"/>
  <c r="P165" i="17"/>
  <c r="P172" i="17"/>
  <c r="O159" i="17"/>
  <c r="Q159" i="17" s="1"/>
  <c r="R159" i="17" s="1"/>
  <c r="U159" i="17" s="1"/>
  <c r="P168" i="17"/>
  <c r="P166" i="17"/>
  <c r="P143" i="17"/>
  <c r="S107" i="17"/>
  <c r="Q145" i="17"/>
  <c r="R145" i="17" s="1"/>
  <c r="P145" i="17"/>
  <c r="Q161" i="17"/>
  <c r="R161" i="17" s="1"/>
  <c r="P161" i="17"/>
  <c r="Q156" i="17"/>
  <c r="R156" i="17" s="1"/>
  <c r="P156" i="17"/>
  <c r="U147" i="17"/>
  <c r="T147" i="17"/>
  <c r="S147" i="17"/>
  <c r="U168" i="17"/>
  <c r="T168" i="17"/>
  <c r="S168" i="17"/>
  <c r="P147" i="17"/>
  <c r="T171" i="17"/>
  <c r="U171" i="17"/>
  <c r="S171" i="17"/>
  <c r="T105" i="17"/>
  <c r="T172" i="17"/>
  <c r="U172" i="17"/>
  <c r="S172" i="17"/>
  <c r="P160" i="17"/>
  <c r="P163" i="17"/>
  <c r="O169" i="17"/>
  <c r="Q169" i="17" s="1"/>
  <c r="R169" i="17" s="1"/>
  <c r="O146" i="17"/>
  <c r="Q146" i="17" s="1"/>
  <c r="R146" i="17" s="1"/>
  <c r="T164" i="17"/>
  <c r="S164" i="17"/>
  <c r="U164" i="17"/>
  <c r="S157" i="17"/>
  <c r="T157" i="17"/>
  <c r="U157" i="17"/>
  <c r="P171" i="17"/>
  <c r="U149" i="17"/>
  <c r="S149" i="17"/>
  <c r="T149" i="17"/>
  <c r="P170" i="17"/>
  <c r="U163" i="17"/>
  <c r="T163" i="17"/>
  <c r="S163" i="17"/>
  <c r="U166" i="17"/>
  <c r="S166" i="17"/>
  <c r="T166" i="17"/>
  <c r="U170" i="17"/>
  <c r="T170" i="17"/>
  <c r="S170" i="17"/>
  <c r="U105" i="17"/>
  <c r="T148" i="17"/>
  <c r="S148" i="17"/>
  <c r="U148" i="17"/>
  <c r="T144" i="17"/>
  <c r="S144" i="17"/>
  <c r="U144" i="17"/>
  <c r="O162" i="17"/>
  <c r="Q162" i="17" s="1"/>
  <c r="R162" i="17" s="1"/>
  <c r="P164" i="17"/>
  <c r="P157" i="17"/>
  <c r="U142" i="17"/>
  <c r="T142" i="17"/>
  <c r="S142" i="17"/>
  <c r="P149" i="17"/>
  <c r="T158" i="17"/>
  <c r="S158" i="17"/>
  <c r="U158" i="17"/>
  <c r="S160" i="17"/>
  <c r="U160" i="17"/>
  <c r="T160" i="17"/>
  <c r="P148" i="17"/>
  <c r="P144" i="17"/>
  <c r="U165" i="17"/>
  <c r="T165" i="17"/>
  <c r="S165" i="17"/>
  <c r="S167" i="17"/>
  <c r="T167" i="17"/>
  <c r="U167" i="17"/>
  <c r="U143" i="17"/>
  <c r="S143" i="17"/>
  <c r="T143" i="17"/>
  <c r="P142" i="17"/>
  <c r="P158" i="17"/>
  <c r="P33" i="17"/>
  <c r="Q22" i="17"/>
  <c r="R22" i="17" s="1"/>
  <c r="S22" i="17" s="1"/>
  <c r="U33" i="17"/>
  <c r="S118" i="17"/>
  <c r="P65" i="17"/>
  <c r="P46" i="17"/>
  <c r="T63" i="17"/>
  <c r="T101" i="17"/>
  <c r="P98" i="17"/>
  <c r="U108" i="17"/>
  <c r="U120" i="17"/>
  <c r="S92" i="17"/>
  <c r="U91" i="17"/>
  <c r="U73" i="17"/>
  <c r="Q82" i="17"/>
  <c r="R82" i="17" s="1"/>
  <c r="T82" i="17" s="1"/>
  <c r="S50" i="17"/>
  <c r="U50" i="17"/>
  <c r="P50" i="17"/>
  <c r="P151" i="17"/>
  <c r="P60" i="17"/>
  <c r="T91" i="17"/>
  <c r="S103" i="17"/>
  <c r="U47" i="17"/>
  <c r="P67" i="17"/>
  <c r="T40" i="17"/>
  <c r="U150" i="17"/>
  <c r="S151" i="17"/>
  <c r="T87" i="17"/>
  <c r="T90" i="17"/>
  <c r="U103" i="17"/>
  <c r="S135" i="17"/>
  <c r="S134" i="17" s="1"/>
  <c r="M18" i="18" s="1"/>
  <c r="T118" i="17"/>
  <c r="T81" i="17"/>
  <c r="S63" i="17"/>
  <c r="P63" i="17"/>
  <c r="U60" i="17"/>
  <c r="T60" i="17"/>
  <c r="T155" i="17"/>
  <c r="P45" i="17"/>
  <c r="P116" i="17"/>
  <c r="T104" i="17"/>
  <c r="T58" i="17"/>
  <c r="P85" i="17"/>
  <c r="P39" i="17"/>
  <c r="S124" i="17"/>
  <c r="S69" i="17"/>
  <c r="S87" i="17"/>
  <c r="P49" i="17"/>
  <c r="U70" i="17"/>
  <c r="U64" i="17"/>
  <c r="U69" i="17"/>
  <c r="P87" i="17"/>
  <c r="S132" i="17"/>
  <c r="U116" i="17"/>
  <c r="T45" i="17"/>
  <c r="T57" i="17"/>
  <c r="U97" i="17"/>
  <c r="U53" i="17"/>
  <c r="S106" i="17"/>
  <c r="S53" i="17"/>
  <c r="P99" i="17"/>
  <c r="T141" i="17"/>
  <c r="U78" i="17"/>
  <c r="S93" i="17"/>
  <c r="P74" i="17"/>
  <c r="P53" i="17"/>
  <c r="U85" i="17"/>
  <c r="P132" i="17"/>
  <c r="U129" i="17"/>
  <c r="P66" i="17"/>
  <c r="U152" i="17"/>
  <c r="P123" i="17"/>
  <c r="P59" i="17"/>
  <c r="U39" i="17"/>
  <c r="T89" i="17"/>
  <c r="U104" i="17"/>
  <c r="P69" i="17"/>
  <c r="P96" i="17"/>
  <c r="S32" i="17"/>
  <c r="T39" i="17"/>
  <c r="S96" i="17"/>
  <c r="P104" i="17"/>
  <c r="P88" i="17"/>
  <c r="U123" i="17"/>
  <c r="T123" i="17"/>
  <c r="T56" i="17"/>
  <c r="T46" i="17"/>
  <c r="T67" i="17"/>
  <c r="T64" i="17"/>
  <c r="P47" i="17"/>
  <c r="S47" i="17"/>
  <c r="T59" i="17"/>
  <c r="P54" i="17"/>
  <c r="T96" i="17"/>
  <c r="T94" i="17"/>
  <c r="S89" i="17"/>
  <c r="S61" i="17"/>
  <c r="P91" i="17"/>
  <c r="S88" i="17"/>
  <c r="P140" i="17"/>
  <c r="T108" i="17"/>
  <c r="S70" i="17"/>
  <c r="P152" i="17"/>
  <c r="S152" i="17"/>
  <c r="S78" i="17"/>
  <c r="P57" i="17"/>
  <c r="T132" i="17"/>
  <c r="P55" i="17"/>
  <c r="T97" i="17"/>
  <c r="U90" i="17"/>
  <c r="Q112" i="17"/>
  <c r="R112" i="17" s="1"/>
  <c r="U112" i="17" s="1"/>
  <c r="P83" i="17"/>
  <c r="U46" i="17"/>
  <c r="U67" i="17"/>
  <c r="U136" i="17"/>
  <c r="U134" i="17" s="1"/>
  <c r="O18" i="18" s="1"/>
  <c r="P101" i="17"/>
  <c r="P97" i="17"/>
  <c r="Q86" i="17"/>
  <c r="R86" i="17" s="1"/>
  <c r="T86" i="17" s="1"/>
  <c r="T135" i="17"/>
  <c r="T107" i="17"/>
  <c r="T116" i="17"/>
  <c r="U49" i="17"/>
  <c r="S74" i="17"/>
  <c r="P90" i="17"/>
  <c r="P81" i="17"/>
  <c r="U101" i="17"/>
  <c r="S57" i="17"/>
  <c r="U55" i="17"/>
  <c r="T61" i="17"/>
  <c r="S81" i="17"/>
  <c r="P93" i="17"/>
  <c r="S40" i="17"/>
  <c r="P103" i="17"/>
  <c r="T33" i="17"/>
  <c r="S73" i="17"/>
  <c r="P129" i="17"/>
  <c r="U140" i="17"/>
  <c r="T140" i="17"/>
  <c r="U151" i="17"/>
  <c r="S150" i="17"/>
  <c r="U155" i="17"/>
  <c r="P150" i="17"/>
  <c r="T83" i="17"/>
  <c r="S58" i="17"/>
  <c r="U74" i="17"/>
  <c r="S45" i="17"/>
  <c r="T55" i="17"/>
  <c r="P61" i="17"/>
  <c r="P136" i="17"/>
  <c r="P58" i="17"/>
  <c r="T129" i="17"/>
  <c r="U124" i="17"/>
  <c r="P106" i="17"/>
  <c r="S83" i="17"/>
  <c r="U44" i="17"/>
  <c r="U93" i="17"/>
  <c r="T136" i="17"/>
  <c r="S49" i="17"/>
  <c r="P94" i="17"/>
  <c r="P135" i="17"/>
  <c r="P107" i="17"/>
  <c r="P118" i="17"/>
  <c r="P40" i="17"/>
  <c r="P78" i="17"/>
  <c r="P73" i="17"/>
  <c r="P108" i="17"/>
  <c r="S111" i="17"/>
  <c r="U106" i="17"/>
  <c r="T111" i="17"/>
  <c r="P155" i="17"/>
  <c r="P56" i="17"/>
  <c r="Q84" i="17"/>
  <c r="R84" i="17" s="1"/>
  <c r="S84" i="17" s="1"/>
  <c r="S56" i="17"/>
  <c r="S154" i="17"/>
  <c r="S48" i="17"/>
  <c r="S43" i="17"/>
  <c r="U99" i="17"/>
  <c r="S59" i="17"/>
  <c r="S117" i="17"/>
  <c r="T85" i="17"/>
  <c r="U141" i="17"/>
  <c r="Q62" i="17"/>
  <c r="R62" i="17" s="1"/>
  <c r="T62" i="17" s="1"/>
  <c r="T88" i="17"/>
  <c r="P70" i="17"/>
  <c r="U66" i="17"/>
  <c r="S95" i="17"/>
  <c r="U48" i="17"/>
  <c r="P89" i="17"/>
  <c r="Q42" i="17"/>
  <c r="R42" i="17" s="1"/>
  <c r="S42" i="17" s="1"/>
  <c r="T43" i="17"/>
  <c r="S99" i="17"/>
  <c r="P64" i="17"/>
  <c r="P141" i="17"/>
  <c r="Q102" i="17"/>
  <c r="R102" i="17" s="1"/>
  <c r="T102" i="17" s="1"/>
  <c r="P48" i="17"/>
  <c r="S66" i="17"/>
  <c r="T125" i="17"/>
  <c r="U100" i="17"/>
  <c r="P178" i="17"/>
  <c r="U178" i="17"/>
  <c r="P125" i="17"/>
  <c r="S52" i="17"/>
  <c r="U113" i="17"/>
  <c r="P117" i="17"/>
  <c r="U52" i="17"/>
  <c r="T95" i="17"/>
  <c r="P77" i="17"/>
  <c r="T65" i="17"/>
  <c r="S65" i="17"/>
  <c r="P154" i="17"/>
  <c r="P126" i="17"/>
  <c r="S100" i="17"/>
  <c r="P95" i="17"/>
  <c r="P100" i="17"/>
  <c r="T126" i="17"/>
  <c r="U117" i="17"/>
  <c r="P52" i="17"/>
  <c r="Q68" i="17"/>
  <c r="R68" i="17" s="1"/>
  <c r="U68" i="17" s="1"/>
  <c r="T77" i="17"/>
  <c r="T178" i="17"/>
  <c r="T153" i="17"/>
  <c r="P153" i="17"/>
  <c r="U126" i="17"/>
  <c r="U139" i="17"/>
  <c r="S139" i="17"/>
  <c r="S77" i="17"/>
  <c r="P139" i="17"/>
  <c r="Q72" i="17"/>
  <c r="R72" i="17" s="1"/>
  <c r="S72" i="17" s="1"/>
  <c r="P113" i="17"/>
  <c r="T154" i="17"/>
  <c r="P119" i="17"/>
  <c r="S113" i="17"/>
  <c r="S41" i="17"/>
  <c r="T44" i="17"/>
  <c r="P124" i="17"/>
  <c r="P44" i="17"/>
  <c r="P51" i="17"/>
  <c r="T51" i="17"/>
  <c r="U41" i="17"/>
  <c r="U32" i="17"/>
  <c r="S51" i="17"/>
  <c r="P71" i="17"/>
  <c r="S153" i="17"/>
  <c r="T119" i="17"/>
  <c r="P41" i="17"/>
  <c r="P32" i="17"/>
  <c r="S71" i="17"/>
  <c r="P43" i="17"/>
  <c r="T71" i="17"/>
  <c r="S119" i="17"/>
  <c r="U125" i="17"/>
  <c r="T16" i="17"/>
  <c r="S16" i="17"/>
  <c r="O18" i="17"/>
  <c r="P18" i="17" s="1"/>
  <c r="P76" i="17"/>
  <c r="P182" i="17"/>
  <c r="P187" i="17"/>
  <c r="Q26" i="17"/>
  <c r="R26" i="17" s="1"/>
  <c r="U26" i="17" s="1"/>
  <c r="T75" i="17"/>
  <c r="U75" i="17"/>
  <c r="S75" i="17"/>
  <c r="U98" i="17"/>
  <c r="T98" i="17"/>
  <c r="S98" i="17"/>
  <c r="P122" i="17"/>
  <c r="Q122" i="17"/>
  <c r="R122" i="17" s="1"/>
  <c r="P131" i="17"/>
  <c r="U188" i="17"/>
  <c r="T188" i="17"/>
  <c r="S188" i="17"/>
  <c r="P110" i="17"/>
  <c r="P75" i="17"/>
  <c r="S184" i="17"/>
  <c r="U184" i="17"/>
  <c r="T184" i="17"/>
  <c r="T34" i="17"/>
  <c r="S34" i="17"/>
  <c r="U34" i="17"/>
  <c r="P185" i="17"/>
  <c r="U109" i="17"/>
  <c r="S109" i="17"/>
  <c r="T109" i="17"/>
  <c r="U180" i="17"/>
  <c r="S180" i="17"/>
  <c r="T180" i="17"/>
  <c r="U121" i="17"/>
  <c r="S121" i="17"/>
  <c r="T121" i="17"/>
  <c r="U27" i="17"/>
  <c r="S27" i="17"/>
  <c r="T27" i="17"/>
  <c r="S181" i="17"/>
  <c r="T181" i="17"/>
  <c r="U181" i="17"/>
  <c r="P188" i="17"/>
  <c r="S186" i="17"/>
  <c r="U186" i="17"/>
  <c r="T186" i="17"/>
  <c r="S130" i="17"/>
  <c r="T130" i="17"/>
  <c r="U130" i="17"/>
  <c r="P184" i="17"/>
  <c r="S54" i="17"/>
  <c r="U54" i="17"/>
  <c r="T54" i="17"/>
  <c r="P34" i="17"/>
  <c r="P109" i="17"/>
  <c r="P180" i="17"/>
  <c r="P121" i="17"/>
  <c r="P27" i="17"/>
  <c r="S131" i="17"/>
  <c r="U131" i="17"/>
  <c r="T131" i="17"/>
  <c r="U110" i="17"/>
  <c r="S110" i="17"/>
  <c r="T110" i="17"/>
  <c r="S185" i="17"/>
  <c r="T185" i="17"/>
  <c r="U185" i="17"/>
  <c r="P181" i="17"/>
  <c r="S187" i="17"/>
  <c r="T187" i="17"/>
  <c r="U187" i="17"/>
  <c r="P186" i="17"/>
  <c r="P130" i="17"/>
  <c r="U76" i="17"/>
  <c r="S76" i="17"/>
  <c r="T76" i="17"/>
  <c r="U182" i="17"/>
  <c r="T182" i="17"/>
  <c r="S182" i="17"/>
  <c r="C8" i="8"/>
  <c r="E8" i="8" s="1"/>
  <c r="C8" i="9"/>
  <c r="E8" i="9" s="1"/>
  <c r="C8" i="6"/>
  <c r="E8" i="6" s="1"/>
  <c r="Q125" i="33" l="1"/>
  <c r="M15" i="26" s="1"/>
  <c r="Q35" i="33"/>
  <c r="R35" i="33"/>
  <c r="S35" i="33"/>
  <c r="R112" i="33"/>
  <c r="N14" i="26" s="1"/>
  <c r="Q112" i="33"/>
  <c r="M14" i="26" s="1"/>
  <c r="S112" i="33"/>
  <c r="S192" i="33" s="1"/>
  <c r="M16" i="26"/>
  <c r="O16" i="26"/>
  <c r="O15" i="26"/>
  <c r="N15" i="26"/>
  <c r="T22" i="17"/>
  <c r="S37" i="11"/>
  <c r="Q37" i="11"/>
  <c r="R166" i="11"/>
  <c r="S166" i="11"/>
  <c r="S68" i="11"/>
  <c r="R68" i="11"/>
  <c r="S50" i="11"/>
  <c r="Q50" i="11"/>
  <c r="R50" i="11"/>
  <c r="Q44" i="11"/>
  <c r="S44" i="11"/>
  <c r="R44" i="11"/>
  <c r="Q68" i="11"/>
  <c r="R45" i="11"/>
  <c r="Q45" i="11"/>
  <c r="R61" i="11"/>
  <c r="S61" i="11"/>
  <c r="Q61" i="11"/>
  <c r="R60" i="11"/>
  <c r="S60" i="11"/>
  <c r="Q60" i="11"/>
  <c r="R67" i="11"/>
  <c r="S67" i="11"/>
  <c r="Q67" i="11"/>
  <c r="Q66" i="11"/>
  <c r="R66" i="11"/>
  <c r="R65" i="11"/>
  <c r="Q65" i="11"/>
  <c r="S39" i="11"/>
  <c r="R39" i="11"/>
  <c r="Q38" i="11"/>
  <c r="R38" i="11"/>
  <c r="S56" i="11"/>
  <c r="Q56" i="11"/>
  <c r="R56" i="11"/>
  <c r="S42" i="11"/>
  <c r="R42" i="11"/>
  <c r="Q177" i="11"/>
  <c r="R177" i="11"/>
  <c r="S177" i="11"/>
  <c r="T159" i="17"/>
  <c r="S146" i="11"/>
  <c r="Q146" i="11"/>
  <c r="R156" i="11"/>
  <c r="S156" i="11"/>
  <c r="Q156" i="11"/>
  <c r="R126" i="11"/>
  <c r="S126" i="11"/>
  <c r="Q126" i="11"/>
  <c r="S161" i="11"/>
  <c r="Q161" i="11"/>
  <c r="R161" i="11"/>
  <c r="R151" i="11"/>
  <c r="S151" i="11"/>
  <c r="S147" i="11"/>
  <c r="R147" i="11"/>
  <c r="Q147" i="11"/>
  <c r="R167" i="11"/>
  <c r="Q167" i="11"/>
  <c r="S167" i="11"/>
  <c r="S160" i="11"/>
  <c r="Q160" i="11"/>
  <c r="R150" i="11"/>
  <c r="S150" i="11"/>
  <c r="Q150" i="11"/>
  <c r="S154" i="11"/>
  <c r="Q154" i="11"/>
  <c r="R154" i="11"/>
  <c r="S164" i="11"/>
  <c r="R164" i="11"/>
  <c r="Q164" i="11"/>
  <c r="S141" i="11"/>
  <c r="Q141" i="11"/>
  <c r="R149" i="11"/>
  <c r="Q149" i="11"/>
  <c r="S173" i="11"/>
  <c r="Q173" i="11"/>
  <c r="R173" i="11"/>
  <c r="Q129" i="11"/>
  <c r="S129" i="11"/>
  <c r="R129" i="11"/>
  <c r="R155" i="11"/>
  <c r="Q155" i="11"/>
  <c r="S155" i="11"/>
  <c r="R157" i="11"/>
  <c r="Q157" i="11"/>
  <c r="S157" i="11"/>
  <c r="R140" i="11"/>
  <c r="Q140" i="11"/>
  <c r="S169" i="11"/>
  <c r="Q169" i="11"/>
  <c r="R169" i="11"/>
  <c r="R40" i="11"/>
  <c r="Q40" i="11"/>
  <c r="R116" i="11"/>
  <c r="Q116" i="11"/>
  <c r="Q123" i="11"/>
  <c r="S182" i="11"/>
  <c r="R182" i="11"/>
  <c r="Q182" i="11"/>
  <c r="Q179" i="11"/>
  <c r="S179" i="11"/>
  <c r="R179" i="11"/>
  <c r="S178" i="11"/>
  <c r="R178" i="11"/>
  <c r="Q178" i="11"/>
  <c r="Q175" i="11"/>
  <c r="S175" i="11"/>
  <c r="R175" i="11"/>
  <c r="S176" i="11"/>
  <c r="R176" i="11"/>
  <c r="Q176" i="11"/>
  <c r="R142" i="11"/>
  <c r="S142" i="11"/>
  <c r="Q142" i="11"/>
  <c r="S158" i="11"/>
  <c r="Q158" i="11"/>
  <c r="R158" i="11"/>
  <c r="Q152" i="11"/>
  <c r="R146" i="11"/>
  <c r="S140" i="11"/>
  <c r="R145" i="11"/>
  <c r="Q151" i="11"/>
  <c r="S163" i="11"/>
  <c r="S149" i="11"/>
  <c r="R141" i="11"/>
  <c r="R152" i="11"/>
  <c r="R160" i="11"/>
  <c r="Q145" i="11"/>
  <c r="Q163" i="11"/>
  <c r="S127" i="11"/>
  <c r="R127" i="11"/>
  <c r="Q127" i="11"/>
  <c r="R118" i="11"/>
  <c r="Q118" i="11"/>
  <c r="S118" i="11"/>
  <c r="Q115" i="11"/>
  <c r="S115" i="11"/>
  <c r="R115" i="11"/>
  <c r="Q113" i="11"/>
  <c r="R113" i="11"/>
  <c r="S113" i="11"/>
  <c r="Q117" i="11"/>
  <c r="S117" i="11"/>
  <c r="R117" i="11"/>
  <c r="S116" i="11"/>
  <c r="R123" i="11"/>
  <c r="S78" i="11"/>
  <c r="S77" i="11" s="1"/>
  <c r="R78" i="11"/>
  <c r="R77" i="11" s="1"/>
  <c r="Q78" i="11"/>
  <c r="Q77" i="11" s="1"/>
  <c r="R47" i="11"/>
  <c r="Q47" i="11"/>
  <c r="S47" i="11"/>
  <c r="Q63" i="11"/>
  <c r="R63" i="11"/>
  <c r="S63" i="11"/>
  <c r="Q49" i="11"/>
  <c r="R49" i="11"/>
  <c r="S49" i="11"/>
  <c r="S72" i="11"/>
  <c r="R72" i="11"/>
  <c r="Q72" i="11"/>
  <c r="R53" i="11"/>
  <c r="Q53" i="11"/>
  <c r="S53" i="11"/>
  <c r="S48" i="11"/>
  <c r="Q48" i="11"/>
  <c r="R48" i="11"/>
  <c r="S58" i="11"/>
  <c r="Q58" i="11"/>
  <c r="R58" i="11"/>
  <c r="Q64" i="11"/>
  <c r="R64" i="11"/>
  <c r="S64" i="11"/>
  <c r="R69" i="11"/>
  <c r="S69" i="11"/>
  <c r="Q69" i="11"/>
  <c r="Q43" i="11"/>
  <c r="R43" i="11"/>
  <c r="S43" i="11"/>
  <c r="S57" i="11"/>
  <c r="Q57" i="11"/>
  <c r="R57" i="11"/>
  <c r="R54" i="11"/>
  <c r="Q54" i="11"/>
  <c r="S54" i="11"/>
  <c r="R62" i="11"/>
  <c r="S62" i="11"/>
  <c r="Q62" i="11"/>
  <c r="Q41" i="11"/>
  <c r="R41" i="11"/>
  <c r="S41" i="11"/>
  <c r="Q70" i="11"/>
  <c r="R70" i="11"/>
  <c r="S70" i="11"/>
  <c r="R75" i="11"/>
  <c r="Q75" i="11"/>
  <c r="S75" i="11"/>
  <c r="R71" i="11"/>
  <c r="S65" i="11"/>
  <c r="R52" i="11"/>
  <c r="S45" i="11"/>
  <c r="S51" i="11"/>
  <c r="S66" i="11"/>
  <c r="Q39" i="11"/>
  <c r="S55" i="11"/>
  <c r="S40" i="11"/>
  <c r="R37" i="11"/>
  <c r="S59" i="11"/>
  <c r="S71" i="11"/>
  <c r="Q52" i="11"/>
  <c r="R51" i="11"/>
  <c r="R55" i="11"/>
  <c r="S38" i="11"/>
  <c r="R59" i="11"/>
  <c r="Q26" i="11"/>
  <c r="Q24" i="11" s="1"/>
  <c r="R26" i="11"/>
  <c r="R24" i="11" s="1"/>
  <c r="S26" i="11"/>
  <c r="S24" i="11" s="1"/>
  <c r="U22" i="17"/>
  <c r="S159" i="17"/>
  <c r="P169" i="17"/>
  <c r="P162" i="17"/>
  <c r="P159" i="17"/>
  <c r="U156" i="17"/>
  <c r="S156" i="17"/>
  <c r="T156" i="17"/>
  <c r="T146" i="17"/>
  <c r="U146" i="17"/>
  <c r="S146" i="17"/>
  <c r="T145" i="17"/>
  <c r="U145" i="17"/>
  <c r="S145" i="17"/>
  <c r="T162" i="17"/>
  <c r="U162" i="17"/>
  <c r="S162" i="17"/>
  <c r="T169" i="17"/>
  <c r="U169" i="17"/>
  <c r="S169" i="17"/>
  <c r="T161" i="17"/>
  <c r="U161" i="17"/>
  <c r="S161" i="17"/>
  <c r="P146" i="17"/>
  <c r="U82" i="17"/>
  <c r="S82" i="17"/>
  <c r="S138" i="17"/>
  <c r="M19" i="18" s="1"/>
  <c r="S86" i="17"/>
  <c r="U84" i="17"/>
  <c r="U138" i="17"/>
  <c r="O19" i="18" s="1"/>
  <c r="U86" i="17"/>
  <c r="U102" i="17"/>
  <c r="S102" i="17"/>
  <c r="S112" i="17"/>
  <c r="T134" i="17"/>
  <c r="N18" i="18" s="1"/>
  <c r="T112" i="17"/>
  <c r="T84" i="17"/>
  <c r="U62" i="17"/>
  <c r="T138" i="17"/>
  <c r="N19" i="18" s="1"/>
  <c r="T42" i="17"/>
  <c r="S62" i="17"/>
  <c r="U42" i="17"/>
  <c r="S68" i="17"/>
  <c r="T68" i="17"/>
  <c r="U72" i="17"/>
  <c r="T72" i="17"/>
  <c r="Q18" i="17"/>
  <c r="R18" i="17" s="1"/>
  <c r="S18" i="17" s="1"/>
  <c r="T26" i="17"/>
  <c r="T25" i="17" s="1"/>
  <c r="N12" i="18" s="1"/>
  <c r="U29" i="17"/>
  <c r="O13" i="18" s="1"/>
  <c r="T29" i="17"/>
  <c r="N13" i="18" s="1"/>
  <c r="U25" i="17"/>
  <c r="O12" i="18" s="1"/>
  <c r="T128" i="17"/>
  <c r="N17" i="18" s="1"/>
  <c r="S26" i="17"/>
  <c r="S25" i="17" s="1"/>
  <c r="S29" i="17"/>
  <c r="U128" i="17"/>
  <c r="O17" i="18" s="1"/>
  <c r="U174" i="17"/>
  <c r="O20" i="18" s="1"/>
  <c r="T174" i="17"/>
  <c r="N20" i="18" s="1"/>
  <c r="S174" i="17"/>
  <c r="S128" i="17"/>
  <c r="M17" i="18" s="1"/>
  <c r="S122" i="17"/>
  <c r="S115" i="17" s="1"/>
  <c r="T122" i="17"/>
  <c r="T115" i="17" s="1"/>
  <c r="N16" i="18" s="1"/>
  <c r="U122" i="17"/>
  <c r="U115" i="17" s="1"/>
  <c r="O16" i="18" s="1"/>
  <c r="M14" i="17"/>
  <c r="J14" i="17"/>
  <c r="K14" i="17"/>
  <c r="L14" i="17"/>
  <c r="I14" i="17"/>
  <c r="R192" i="33" l="1"/>
  <c r="Q192" i="33"/>
  <c r="O14" i="26"/>
  <c r="C53" i="12"/>
  <c r="D53" i="12" s="1"/>
  <c r="F53" i="12" s="1"/>
  <c r="G53" i="12" s="1"/>
  <c r="C33" i="12"/>
  <c r="D33" i="12" s="1"/>
  <c r="F33" i="12" s="1"/>
  <c r="G33" i="12" s="1"/>
  <c r="C13" i="12"/>
  <c r="D13" i="12" s="1"/>
  <c r="F13" i="12" s="1"/>
  <c r="G13" i="12" s="1"/>
  <c r="N12" i="26"/>
  <c r="N13" i="26"/>
  <c r="M13" i="26"/>
  <c r="O12" i="26"/>
  <c r="O13" i="26"/>
  <c r="N16" i="26"/>
  <c r="O17" i="26"/>
  <c r="C29" i="26"/>
  <c r="D29" i="26" s="1"/>
  <c r="F29" i="26" s="1"/>
  <c r="G29" i="26" s="1"/>
  <c r="N17" i="26"/>
  <c r="N13" i="12"/>
  <c r="O13" i="12"/>
  <c r="M13" i="12"/>
  <c r="O10" i="12"/>
  <c r="N10" i="12"/>
  <c r="D13" i="26"/>
  <c r="F13" i="26" s="1"/>
  <c r="G13" i="26" s="1"/>
  <c r="R125" i="11"/>
  <c r="M10" i="12"/>
  <c r="Q125" i="11"/>
  <c r="S125" i="11"/>
  <c r="Q35" i="11"/>
  <c r="Q135" i="11"/>
  <c r="R112" i="11"/>
  <c r="S135" i="11"/>
  <c r="R135" i="11"/>
  <c r="R192" i="11" s="1"/>
  <c r="S35" i="11"/>
  <c r="R35" i="11"/>
  <c r="S112" i="11"/>
  <c r="S192" i="11" s="1"/>
  <c r="Q112" i="11"/>
  <c r="U80" i="17"/>
  <c r="O15" i="18" s="1"/>
  <c r="S80" i="17"/>
  <c r="M15" i="18" s="1"/>
  <c r="T80" i="17"/>
  <c r="N15" i="18" s="1"/>
  <c r="T38" i="17"/>
  <c r="N14" i="18" s="1"/>
  <c r="S38" i="17"/>
  <c r="M14" i="18" s="1"/>
  <c r="U38" i="17"/>
  <c r="O14" i="18" s="1"/>
  <c r="U18" i="17"/>
  <c r="T18" i="17"/>
  <c r="M13" i="18"/>
  <c r="T194" i="17"/>
  <c r="N24" i="18" s="1"/>
  <c r="C9" i="18"/>
  <c r="D9" i="18" s="1"/>
  <c r="F9" i="18" s="1"/>
  <c r="G9" i="18" s="1"/>
  <c r="M20" i="18"/>
  <c r="U194" i="17"/>
  <c r="O24" i="18" s="1"/>
  <c r="M16" i="18"/>
  <c r="C8" i="18"/>
  <c r="D8" i="18" s="1"/>
  <c r="F8" i="18" s="1"/>
  <c r="G8" i="18" s="1"/>
  <c r="C12" i="18"/>
  <c r="D12" i="18" s="1"/>
  <c r="F12" i="18" s="1"/>
  <c r="G12" i="18" s="1"/>
  <c r="M12" i="18"/>
  <c r="S194" i="17"/>
  <c r="M24" i="18" s="1"/>
  <c r="O14" i="17"/>
  <c r="C9" i="26" l="1"/>
  <c r="D9" i="26" s="1"/>
  <c r="F9" i="26" s="1"/>
  <c r="G9" i="26" s="1"/>
  <c r="C49" i="12"/>
  <c r="D49" i="12" s="1"/>
  <c r="F49" i="12" s="1"/>
  <c r="G49" i="12" s="1"/>
  <c r="C29" i="12"/>
  <c r="D29" i="12" s="1"/>
  <c r="F29" i="12" s="1"/>
  <c r="G29" i="12" s="1"/>
  <c r="C9" i="12"/>
  <c r="C54" i="12"/>
  <c r="D54" i="12" s="1"/>
  <c r="F54" i="12" s="1"/>
  <c r="G54" i="12" s="1"/>
  <c r="C34" i="12"/>
  <c r="D34" i="12" s="1"/>
  <c r="F34" i="12" s="1"/>
  <c r="G34" i="12" s="1"/>
  <c r="C14" i="12"/>
  <c r="D14" i="12" s="1"/>
  <c r="F14" i="12" s="1"/>
  <c r="G14" i="12" s="1"/>
  <c r="C49" i="26"/>
  <c r="D49" i="26" s="1"/>
  <c r="F49" i="26" s="1"/>
  <c r="G49" i="26" s="1"/>
  <c r="M12" i="26"/>
  <c r="C54" i="26"/>
  <c r="D54" i="26" s="1"/>
  <c r="F54" i="26" s="1"/>
  <c r="G54" i="26" s="1"/>
  <c r="C34" i="26"/>
  <c r="D34" i="26" s="1"/>
  <c r="F34" i="26" s="1"/>
  <c r="G34" i="26" s="1"/>
  <c r="C14" i="26"/>
  <c r="D14" i="26" s="1"/>
  <c r="F14" i="26" s="1"/>
  <c r="G14" i="26" s="1"/>
  <c r="M17" i="26"/>
  <c r="M12" i="12"/>
  <c r="N12" i="12"/>
  <c r="O17" i="12"/>
  <c r="O12" i="12"/>
  <c r="N14" i="12"/>
  <c r="N15" i="12"/>
  <c r="O15" i="12"/>
  <c r="O14" i="12"/>
  <c r="N17" i="12"/>
  <c r="M17" i="12"/>
  <c r="M15" i="12"/>
  <c r="Q192" i="11"/>
  <c r="M14" i="12"/>
  <c r="C13" i="18"/>
  <c r="D13" i="18" s="1"/>
  <c r="F13" i="18" s="1"/>
  <c r="G13" i="18" s="1"/>
  <c r="P14" i="17"/>
  <c r="Q14" i="17"/>
  <c r="R14" i="17" s="1"/>
  <c r="M22" i="12" l="1"/>
  <c r="M22" i="26"/>
  <c r="O22" i="12"/>
  <c r="O22" i="26"/>
  <c r="N22" i="12"/>
  <c r="N22" i="26"/>
  <c r="D9" i="12"/>
  <c r="F9" i="12" s="1"/>
  <c r="S14" i="17"/>
  <c r="S12" i="17" s="1"/>
  <c r="U14" i="17"/>
  <c r="U12" i="17" s="1"/>
  <c r="T14" i="17"/>
  <c r="T12" i="17" s="1"/>
  <c r="G9" i="12" l="1"/>
  <c r="O10" i="18"/>
  <c r="O22" i="18" s="1"/>
  <c r="N10" i="18"/>
  <c r="N22" i="18" s="1"/>
  <c r="C6" i="18"/>
  <c r="M10" i="18"/>
  <c r="M22" i="18" s="1"/>
  <c r="C15" i="18" l="1"/>
  <c r="D6" i="18"/>
  <c r="F6" i="18" l="1"/>
  <c r="D15" i="18"/>
  <c r="F15" i="18" l="1"/>
  <c r="G6" i="18"/>
  <c r="G15" i="18" s="1"/>
  <c r="C30" i="6" l="1"/>
  <c r="E30" i="6" s="1"/>
  <c r="C30" i="9"/>
  <c r="E30" i="9" s="1"/>
  <c r="D45" i="16"/>
  <c r="H45" i="16" s="1"/>
  <c r="D36" i="17"/>
  <c r="H36" i="17" s="1"/>
  <c r="C36" i="17"/>
  <c r="F38" i="1" l="1"/>
  <c r="C29" i="6" s="1"/>
  <c r="E29" i="6" s="1"/>
  <c r="L38" i="17"/>
  <c r="C177" i="17"/>
  <c r="I45" i="16"/>
  <c r="K45" i="16" s="1"/>
  <c r="C29" i="9" l="1"/>
  <c r="E29" i="9" s="1"/>
  <c r="D44" i="16"/>
  <c r="F44" i="16" s="1"/>
  <c r="F33" i="32" s="1"/>
  <c r="F37" i="1"/>
  <c r="D33" i="11" s="1"/>
  <c r="D35" i="17"/>
  <c r="H35" i="17" s="1"/>
  <c r="O35" i="17" s="1"/>
  <c r="P35" i="17" s="1"/>
  <c r="N38" i="17"/>
  <c r="O38" i="17" s="1"/>
  <c r="P38" i="17" s="1"/>
  <c r="I43" i="16"/>
  <c r="I33" i="32" s="1"/>
  <c r="M33" i="33" s="1"/>
  <c r="D174" i="11"/>
  <c r="H174" i="11" s="1"/>
  <c r="G174" i="24" s="1"/>
  <c r="C171" i="9"/>
  <c r="E171" i="9" s="1"/>
  <c r="D186" i="16"/>
  <c r="D177" i="17"/>
  <c r="H177" i="17" s="1"/>
  <c r="O177" i="17" s="1"/>
  <c r="C171" i="6"/>
  <c r="E171" i="6" s="1"/>
  <c r="D33" i="33" l="1"/>
  <c r="H33" i="33" s="1"/>
  <c r="D43" i="16"/>
  <c r="H44" i="16"/>
  <c r="J44" i="16" s="1"/>
  <c r="K44" i="16" s="1"/>
  <c r="F43" i="16"/>
  <c r="J36" i="17" s="1"/>
  <c r="Q35" i="17"/>
  <c r="R35" i="17" s="1"/>
  <c r="T35" i="17" s="1"/>
  <c r="D174" i="32"/>
  <c r="H174" i="24"/>
  <c r="I174" i="24" s="1"/>
  <c r="H33" i="11"/>
  <c r="J33" i="33"/>
  <c r="H186" i="16"/>
  <c r="M33" i="11"/>
  <c r="M36" i="17"/>
  <c r="P177" i="17"/>
  <c r="Q177" i="17"/>
  <c r="R177" i="17" s="1"/>
  <c r="J33" i="11" l="1"/>
  <c r="H43" i="16"/>
  <c r="H33" i="32" s="1"/>
  <c r="L33" i="33" s="1"/>
  <c r="U35" i="17"/>
  <c r="S35" i="17"/>
  <c r="C10" i="18" s="1"/>
  <c r="D10" i="18" s="1"/>
  <c r="F10" i="18" s="1"/>
  <c r="G10" i="18" s="1"/>
  <c r="G33" i="24"/>
  <c r="H174" i="32"/>
  <c r="J174" i="32" s="1"/>
  <c r="N174" i="33" s="1"/>
  <c r="O174" i="33" s="1"/>
  <c r="P174" i="33" s="1"/>
  <c r="L179" i="17"/>
  <c r="L174" i="11"/>
  <c r="U177" i="17"/>
  <c r="T177" i="17"/>
  <c r="S177" i="17"/>
  <c r="J186" i="16"/>
  <c r="L33" i="11" l="1"/>
  <c r="L36" i="17"/>
  <c r="J43" i="16"/>
  <c r="K43" i="16" s="1"/>
  <c r="C11" i="18"/>
  <c r="D11" i="18" s="1"/>
  <c r="F11" i="18" s="1"/>
  <c r="G11" i="18" s="1"/>
  <c r="S174" i="33"/>
  <c r="S172" i="33" s="1"/>
  <c r="O18" i="26" s="1"/>
  <c r="Q174" i="33"/>
  <c r="Q172" i="33" s="1"/>
  <c r="R174" i="33"/>
  <c r="R172" i="33" s="1"/>
  <c r="N18" i="26" s="1"/>
  <c r="L174" i="33"/>
  <c r="K174" i="32"/>
  <c r="H33" i="24"/>
  <c r="I33" i="24" s="1"/>
  <c r="D33" i="32"/>
  <c r="J33" i="32" s="1"/>
  <c r="N174" i="11"/>
  <c r="O174" i="11" s="1"/>
  <c r="P174" i="11" s="1"/>
  <c r="N179" i="17"/>
  <c r="O179" i="17" s="1"/>
  <c r="Q179" i="17" s="1"/>
  <c r="R179" i="17" s="1"/>
  <c r="K186" i="16"/>
  <c r="N36" i="17"/>
  <c r="O36" i="17" l="1"/>
  <c r="Q36" i="17" s="1"/>
  <c r="R36" i="17" s="1"/>
  <c r="T36" i="17" s="1"/>
  <c r="N33" i="11"/>
  <c r="O33" i="11" s="1"/>
  <c r="P33" i="11" s="1"/>
  <c r="S33" i="11" s="1"/>
  <c r="S29" i="11" s="1"/>
  <c r="O11" i="12" s="1"/>
  <c r="C10" i="26"/>
  <c r="D10" i="26" s="1"/>
  <c r="F10" i="26" s="1"/>
  <c r="G10" i="26" s="1"/>
  <c r="C30" i="26"/>
  <c r="D30" i="26" s="1"/>
  <c r="F30" i="26" s="1"/>
  <c r="G30" i="26" s="1"/>
  <c r="M18" i="26"/>
  <c r="C50" i="26"/>
  <c r="D50" i="26" s="1"/>
  <c r="F50" i="26" s="1"/>
  <c r="G50" i="26" s="1"/>
  <c r="N33" i="33"/>
  <c r="O33" i="33" s="1"/>
  <c r="P33" i="33" s="1"/>
  <c r="K33" i="32"/>
  <c r="P179" i="17"/>
  <c r="U36" i="17"/>
  <c r="P36" i="17"/>
  <c r="S179" i="17"/>
  <c r="T179" i="17"/>
  <c r="U179" i="17"/>
  <c r="S174" i="11"/>
  <c r="R174" i="11"/>
  <c r="Q174" i="11"/>
  <c r="Q172" i="11" s="1"/>
  <c r="S36" i="17" l="1"/>
  <c r="Q33" i="11"/>
  <c r="Q29" i="11" s="1"/>
  <c r="R33" i="11"/>
  <c r="R29" i="11" s="1"/>
  <c r="N11" i="12" s="1"/>
  <c r="S33" i="33"/>
  <c r="S29" i="33" s="1"/>
  <c r="Q33" i="33"/>
  <c r="Q29" i="33" s="1"/>
  <c r="R33" i="33"/>
  <c r="R29" i="33" s="1"/>
  <c r="C31" i="12"/>
  <c r="D31" i="12" s="1"/>
  <c r="F31" i="12" s="1"/>
  <c r="G31" i="12" s="1"/>
  <c r="C51" i="12"/>
  <c r="D51" i="12" s="1"/>
  <c r="F51" i="12" s="1"/>
  <c r="G51" i="12" s="1"/>
  <c r="R172" i="11"/>
  <c r="S172" i="11"/>
  <c r="C11" i="12" l="1"/>
  <c r="D11" i="12" s="1"/>
  <c r="F11" i="12" s="1"/>
  <c r="G11" i="12" s="1"/>
  <c r="C50" i="12"/>
  <c r="D50" i="12" s="1"/>
  <c r="F50" i="12" s="1"/>
  <c r="G50" i="12" s="1"/>
  <c r="C30" i="12"/>
  <c r="D30" i="12" s="1"/>
  <c r="F30" i="12" s="1"/>
  <c r="G30" i="12" s="1"/>
  <c r="C10" i="12"/>
  <c r="D10" i="12" s="1"/>
  <c r="F10" i="12" s="1"/>
  <c r="G10" i="12" s="1"/>
  <c r="C51" i="26"/>
  <c r="D51" i="26" s="1"/>
  <c r="F51" i="26" s="1"/>
  <c r="G51" i="26" s="1"/>
  <c r="C31" i="26"/>
  <c r="D31" i="26" s="1"/>
  <c r="F31" i="26" s="1"/>
  <c r="G31" i="26" s="1"/>
  <c r="C11" i="26"/>
  <c r="D11" i="26" s="1"/>
  <c r="F11" i="26" s="1"/>
  <c r="G11" i="26" s="1"/>
  <c r="M11" i="12"/>
  <c r="C32" i="12"/>
  <c r="D32" i="12" s="1"/>
  <c r="F32" i="12" s="1"/>
  <c r="G32" i="12" s="1"/>
  <c r="C12" i="12"/>
  <c r="D12" i="12" s="1"/>
  <c r="F12" i="12" s="1"/>
  <c r="G12" i="12" s="1"/>
  <c r="C52" i="12"/>
  <c r="D52" i="12" s="1"/>
  <c r="F52" i="12" s="1"/>
  <c r="G52" i="12" s="1"/>
  <c r="N11" i="26"/>
  <c r="M18" i="12"/>
  <c r="N18" i="12"/>
  <c r="O18" i="12"/>
  <c r="O11" i="26"/>
  <c r="K23" i="17"/>
  <c r="G23" i="16"/>
  <c r="K25" i="16"/>
  <c r="N23" i="17"/>
  <c r="K21" i="17" l="1"/>
  <c r="G20" i="32"/>
  <c r="C32" i="26"/>
  <c r="D32" i="26" s="1"/>
  <c r="F32" i="26" s="1"/>
  <c r="G32" i="26" s="1"/>
  <c r="C12" i="26"/>
  <c r="D12" i="26" s="1"/>
  <c r="F12" i="26" s="1"/>
  <c r="G12" i="26" s="1"/>
  <c r="C52" i="26"/>
  <c r="D52" i="26" s="1"/>
  <c r="F52" i="26" s="1"/>
  <c r="G52" i="26" s="1"/>
  <c r="M11" i="26"/>
  <c r="O23" i="17"/>
  <c r="Q23" i="17" s="1"/>
  <c r="R23" i="17" s="1"/>
  <c r="S23" i="17" s="1"/>
  <c r="K20" i="11"/>
  <c r="J23" i="16"/>
  <c r="K23" i="16" s="1"/>
  <c r="K20" i="33" l="1"/>
  <c r="J20" i="32"/>
  <c r="N20" i="33" s="1"/>
  <c r="P23" i="17"/>
  <c r="U23" i="17"/>
  <c r="T23" i="17"/>
  <c r="N21" i="17"/>
  <c r="N20" i="11"/>
  <c r="K20" i="32" l="1"/>
  <c r="O20" i="33"/>
  <c r="P20" i="33" s="1"/>
  <c r="O20" i="11"/>
  <c r="P20" i="11" s="1"/>
  <c r="Q20" i="11" s="1"/>
  <c r="Q18" i="11" s="1"/>
  <c r="O21" i="17"/>
  <c r="Q21" i="17" s="1"/>
  <c r="R21" i="17" s="1"/>
  <c r="R20" i="11" l="1"/>
  <c r="R18" i="11" s="1"/>
  <c r="N9" i="12" s="1"/>
  <c r="N20" i="12" s="1"/>
  <c r="N24" i="12" s="1"/>
  <c r="S20" i="11"/>
  <c r="S18" i="11" s="1"/>
  <c r="S190" i="11" s="1"/>
  <c r="S20" i="33"/>
  <c r="S18" i="33" s="1"/>
  <c r="Q20" i="33"/>
  <c r="Q18" i="33" s="1"/>
  <c r="R20" i="33"/>
  <c r="R18" i="33" s="1"/>
  <c r="C28" i="12"/>
  <c r="C8" i="12"/>
  <c r="C16" i="12" s="1"/>
  <c r="C48" i="12"/>
  <c r="M9" i="12"/>
  <c r="M20" i="12" s="1"/>
  <c r="M24" i="12" s="1"/>
  <c r="Q190" i="11"/>
  <c r="Q188" i="11"/>
  <c r="T21" i="17"/>
  <c r="T20" i="17" s="1"/>
  <c r="S21" i="17"/>
  <c r="S20" i="17" s="1"/>
  <c r="U21" i="17"/>
  <c r="U20" i="17" s="1"/>
  <c r="P21" i="17"/>
  <c r="O9" i="12" l="1"/>
  <c r="O20" i="12" s="1"/>
  <c r="R188" i="11"/>
  <c r="R190" i="11"/>
  <c r="N21" i="26" s="1"/>
  <c r="S188" i="11"/>
  <c r="R190" i="33"/>
  <c r="R188" i="33"/>
  <c r="Q190" i="33"/>
  <c r="Q188" i="33"/>
  <c r="S190" i="33"/>
  <c r="S188" i="33"/>
  <c r="N9" i="26"/>
  <c r="N20" i="26" s="1"/>
  <c r="N24" i="26" s="1"/>
  <c r="D48" i="12"/>
  <c r="C56" i="12"/>
  <c r="D28" i="12"/>
  <c r="C36" i="12"/>
  <c r="O9" i="26"/>
  <c r="O20" i="26" s="1"/>
  <c r="C28" i="26"/>
  <c r="C8" i="26"/>
  <c r="D8" i="26" s="1"/>
  <c r="C48" i="26"/>
  <c r="M9" i="26"/>
  <c r="M20" i="26" s="1"/>
  <c r="M24" i="26" s="1"/>
  <c r="M21" i="26"/>
  <c r="M21" i="12"/>
  <c r="O21" i="12"/>
  <c r="O21" i="26"/>
  <c r="D8" i="12"/>
  <c r="O11" i="18"/>
  <c r="U192" i="17"/>
  <c r="O23" i="18" s="1"/>
  <c r="U190" i="17"/>
  <c r="C7" i="18"/>
  <c r="D7" i="18" s="1"/>
  <c r="F7" i="18" s="1"/>
  <c r="G7" i="18" s="1"/>
  <c r="S190" i="17"/>
  <c r="S192" i="17"/>
  <c r="M23" i="18" s="1"/>
  <c r="M11" i="18"/>
  <c r="N11" i="18"/>
  <c r="T190" i="17"/>
  <c r="T192" i="17"/>
  <c r="N23" i="18" s="1"/>
  <c r="N21" i="12" l="1"/>
  <c r="D48" i="26"/>
  <c r="C56" i="26"/>
  <c r="F28" i="12"/>
  <c r="D36" i="12"/>
  <c r="D28" i="26"/>
  <c r="C36" i="26"/>
  <c r="C16" i="26"/>
  <c r="F48" i="12"/>
  <c r="D56" i="12"/>
  <c r="F8" i="26"/>
  <c r="D16" i="26"/>
  <c r="F8" i="12"/>
  <c r="D16" i="12"/>
  <c r="G48" i="12" l="1"/>
  <c r="G56" i="12" s="1"/>
  <c r="F56" i="12"/>
  <c r="G28" i="12"/>
  <c r="G36" i="12" s="1"/>
  <c r="F36" i="12"/>
  <c r="F28" i="26"/>
  <c r="D36" i="26"/>
  <c r="F48" i="26"/>
  <c r="D56" i="26"/>
  <c r="G8" i="12"/>
  <c r="G16" i="12" s="1"/>
  <c r="F16" i="12"/>
  <c r="G8" i="26"/>
  <c r="G16" i="26" s="1"/>
  <c r="F16" i="26"/>
  <c r="G48" i="26" l="1"/>
  <c r="G56" i="26" s="1"/>
  <c r="F56" i="26"/>
  <c r="G28" i="26"/>
  <c r="G36" i="26" s="1"/>
  <c r="F36" i="26"/>
</calcChain>
</file>

<file path=xl/comments1.xml><?xml version="1.0" encoding="utf-8"?>
<comments xmlns="http://schemas.openxmlformats.org/spreadsheetml/2006/main">
  <authors>
    <author>tc={AD3AF637-4714-446F-83BC-FAB760652C45}</author>
    <author>tc={B16C0C92-228A-46E1-9441-FC0C55DCBEE2}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sagu segar dalam cell ini</t>
        </r>
      </text>
    </comment>
    <comment ref="D7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tepung sagu dalam cell ini</t>
        </r>
      </text>
    </comment>
  </commentList>
</comments>
</file>

<file path=xl/comments2.xml><?xml version="1.0" encoding="utf-8"?>
<comments xmlns="http://schemas.openxmlformats.org/spreadsheetml/2006/main">
  <authors>
    <author>tc={E3139B13-691A-48DC-BDC2-3D771CEE4B5C}</author>
    <author>tc={F4B013BD-A1DA-45E1-8C96-D30DC5E941BC}</author>
    <author>tc={D2A364A1-AB3D-4367-BBFB-10ACDDD8BDB1}</author>
    <author>tc={C6C709AE-1AF0-468F-8717-B9E6512F1030}</author>
    <author>tc={1D7839C4-CD13-445E-BF03-ACBED560A2C1}</author>
    <author>tc={4464EA75-A39B-4F48-B2EF-51D87013D2A2}</author>
    <author>tc={F45BE634-25E3-4CAF-922D-7F2C2F5E97AD}</author>
    <author>tc={B9425622-090E-40A8-8B5A-B553612098A4}</author>
    <author>tc={6A1030CB-D6AD-4ED9-A8A8-DEBD865B80C2}</author>
    <author>tc={761F0806-2371-4B03-B3B6-A517AD453038}</author>
    <author>tc={AF0C34BF-7D4D-43C7-BDCF-C1BD0DE92820}</author>
    <author>tc={46C3929E-B16D-406D-A400-FFBB09063A82}</author>
    <author>tc={7DBC282D-397B-4F56-B8F0-6FFD9FDC0BC4}</author>
    <author>tc={5393BFFE-98B6-470E-82C7-56AF517C5DC4}</author>
    <author>tc={0DA22A15-5CDB-41EF-8E2A-0814CFEEFC76}</author>
    <author>tc={25A0688B-71A0-46DB-BC81-B651466606C0}</author>
    <author>tc={67029D5E-4A38-45E8-8A71-9A639E99A57A}</author>
    <author>tc={A2A99E80-DDA8-4DE4-B110-EDA399274A4D}</author>
    <author>tc={D91E413B-68E9-4F86-9771-B1773D81913D}</author>
    <author>tc={A6EF4449-555E-40D2-AC17-FBFF04BCE04D}</author>
    <author>tc={823C547C-05C5-43BA-9CE1-F36C9375F9FE}</author>
    <author>tc={E811BD4B-5EE3-43B4-A013-E560568084EE}</author>
    <author>tc={6FA0E191-1D76-48AD-B9A2-A61A27035DDF}</author>
    <author>tc={93E9E724-CFD6-4F69-8CD0-7CDF62E18B0F}</author>
    <author>tc={9D0C20CF-AC79-4D55-A096-84A852C7EC3B}</author>
    <author>tc={AAA86B7E-9704-4E12-ADDB-7ACC814BFFE3}</author>
    <author>tc={861E2317-D121-4650-87EA-3DE28499612E}</author>
  </authors>
  <commentList>
    <comment ref="A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Isi tahun berdasarkan tahun data NBM</t>
        </r>
      </text>
    </comment>
    <comment ref="N4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Isi jumlah penduduk disini</t>
        </r>
      </text>
    </comment>
    <comment ref="D7" authorId="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Masukan produksi GKG berdasarkan KSA</t>
        </r>
      </text>
    </comment>
    <comment ref="D8" authorId="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tidak perlu diisi, otomatis berdasarkan konversi gabah</t>
        </r>
      </text>
    </comment>
    <comment ref="E8" authorId="4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Wajib diisi dengan konversi GKG ke beras sesuai dengan provinsi masing-masing</t>
        </r>
      </text>
    </comment>
    <comment ref="D9" authorId="5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JPK dalam cell ini</t>
        </r>
      </text>
    </comment>
    <comment ref="E9" authorId="6" shapeId="0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Penting:
Jagung yang digunakan adalah JPK KA 14%, jika data tersedia sudah dalam JPK KA 14%, maka tidak perlu dikonversi (0,74 diganti menjadi 1)
</t>
        </r>
      </text>
    </comment>
    <comment ref="D10" authorId="7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Data produksi jagung basah berdasarkan perkiraan angka konsumsi jagung 
Reply:
    Isi angka konsumsi pada kolom N7</t>
        </r>
      </text>
    </comment>
    <comment ref="D12" authorId="8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gandum pada cell ini</t>
        </r>
      </text>
    </comment>
    <comment ref="D13" authorId="9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tepung gandum dalam cell ini</t>
        </r>
      </text>
    </comment>
    <comment ref="D18" authorId="1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ubi kayu dalam cell ini</t>
        </r>
      </text>
    </comment>
    <comment ref="D22" authorId="1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sagu segar dalam cell ini</t>
        </r>
      </text>
    </comment>
    <comment ref="D23" authorId="1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tepung sagu dalam cell ini</t>
        </r>
      </text>
    </comment>
    <comment ref="D28" authorId="1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GKP/Gula konsumsi dalam cell ini</t>
        </r>
      </text>
    </comment>
    <comment ref="D29" authorId="14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gula rafinasi/ gula industri dalam cell ini</t>
        </r>
      </text>
    </comment>
    <comment ref="E34" authorId="15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Apabila data yang diperoleh sudah dalam bentuk tanah lepas kulit, maka konversi diganti dengan 1
Reply:
    Jika data masih dalam bentuk kacang berkulit, maka konversi diganti 0,68</t>
        </r>
      </text>
    </comment>
    <comment ref="D37" authorId="16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Isi data produksi kelapa pada cell ini</t>
        </r>
      </text>
    </comment>
    <comment ref="D38" authorId="17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Tidak perlu mengisi cell ini</t>
        </r>
      </text>
    </comment>
    <comment ref="D39" authorId="18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Estimasi sebesar 63,3% dari produksi kelapa diolah menjadi kopra, sedangkan sisanya dikonsumsi dalam bentuk daging kelapa, sehingga angka kopra berdasarkan konversi tersebut. 
Reply:
    Apabila terdapat data kopra rill, dapat diisi disini. Data kopra diasumsikan untuk diolah menjadi minyak goreng kelapa, sehingga data tersebut akan menjadi data minyak goreng (komoditas no. 140)</t>
        </r>
      </text>
    </comment>
    <comment ref="C118" authorId="19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Data Daging dalam bentuk Karkas, apabila data yang tersedia dalam bentuk daging murni, maka konversi dahulu menjadi karkas. Setelah itu, hasil karkas dimasukan ke dalam kolom produksi kotor.</t>
        </r>
      </text>
    </comment>
    <comment ref="D120" authorId="2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Isi data produksi sapi lokal pada cell ini</t>
        </r>
      </text>
    </comment>
    <comment ref="D121" authorId="2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Isi data produksi sapi eks impor pada cell ini</t>
        </r>
      </text>
    </comment>
    <comment ref="D131" authorId="2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Sudah terisi berdasarkan persentase jeroan terhadap karkas</t>
        </r>
      </text>
    </comment>
    <comment ref="E181" authorId="2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Apabila data yang diperoleh sudah dalam bentuk minyak kacang tanah maka tidak perlu dilakukan konversi (0,52 diganti 1)</t>
        </r>
      </text>
    </comment>
    <comment ref="C182" authorId="24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Dalam komoditas kelapa, kelapa yang diolah menjadi kopra diasumsikan akan digunakan sebagai bahan pembuatan minyak goreng kelapa. Sehingga langsung terhubung dengan angka produksi kopra.</t>
        </r>
      </text>
    </comment>
    <comment ref="E184" authorId="25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Apabila data yang diperoleh sudah dalam bentuk minyak jagung maka tidak perlu dilakukan konversi (0,52 diganti 1)</t>
        </r>
      </text>
    </comment>
    <comment ref="D189" authorId="26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Merupakan persentase dari Karkas, sudah terisi.</t>
        </r>
      </text>
    </comment>
  </commentList>
</comments>
</file>

<file path=xl/comments3.xml><?xml version="1.0" encoding="utf-8"?>
<comments xmlns="http://schemas.openxmlformats.org/spreadsheetml/2006/main">
  <authors>
    <author>tc={BEA667B5-028D-4AAF-899C-FCD8960DF038}</author>
    <author>tc={AE881629-2292-40F6-B6F9-00FDBC6AB4F2}</author>
    <author>tc={B00A8266-7482-44C9-8B38-F43867A0FF29}</author>
    <author>tc={3E6714F2-71A1-4C19-87E0-53533368B54E}</author>
    <author>tc={AE854C17-D56C-4671-B0B9-DEF7DA362D63}</author>
    <author>tc={B46D113E-3DAB-4C88-84BD-235DCDE489F2}</author>
    <author>tc={BB089ABC-8720-4D21-8C7F-AB41C080661E}</author>
    <author>tc={707E64C6-34B6-4063-BECE-0B015D092D7D}</author>
    <author>tc={627DF765-F1E5-4405-807C-AB7F80608127}</author>
  </authors>
  <commentList>
    <comment ref="B11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stok gandum utuh dalam baris ini</t>
        </r>
      </text>
    </comment>
    <comment ref="B17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stok ubi kayu dalam baris ini</t>
        </r>
      </text>
    </comment>
    <comment ref="B21" authorId="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stok sagu dalam baris ini</t>
        </r>
      </text>
    </comment>
    <comment ref="K33" authorId="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Apabila data yang diperoleh sudah dalam bentuk tanah lepas kulit, maka konversi diganti dengan 1</t>
        </r>
      </text>
    </comment>
    <comment ref="B37" authorId="4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stok kelapa dalam baris ini</t>
        </r>
      </text>
    </comment>
    <comment ref="D83" authorId="5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data yang dimasukan sudah dalam bentuk bawang merah rogol</t>
        </r>
      </text>
    </comment>
    <comment ref="D84" authorId="6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Data stok bawang putih dalam bentuk rogol</t>
        </r>
      </text>
    </comment>
    <comment ref="C117" authorId="7" shapeId="0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Masukan data stok daging dalam bentuk daging murni. </t>
        </r>
      </text>
    </comment>
    <comment ref="C128" authorId="8" shapeId="0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Masukan data stok riil jeroan </t>
        </r>
      </text>
    </comment>
  </commentList>
</comments>
</file>

<file path=xl/comments4.xml><?xml version="1.0" encoding="utf-8"?>
<comments xmlns="http://schemas.openxmlformats.org/spreadsheetml/2006/main">
  <authors>
    <author>tc={02643113-C470-4501-95EC-8DEE54E57C13}</author>
    <author>tc={CB9ACFD4-BE36-4A4D-AEA4-EC8F7CDE5FD7}</author>
    <author>tc={63EB5125-EEF2-4354-81F9-E0F136C0AC6C}</author>
    <author>tc={2AD911AE-2D14-4986-8203-7F17F9CC8B16}</author>
    <author>tc={D2A53CD7-E467-470C-9C03-7025BE95557B}</author>
    <author>tc={BBB80A9D-6A4F-4FF4-AA74-4357AC9505BC}</author>
    <author>tc={A5195690-B2A6-4E51-A917-EB3C2B378662}</author>
    <author>tc={F44B29CB-2395-48C9-A1BE-EA638FADFDC5}</author>
    <author>tc={16460DCD-0B56-4138-A748-249BB5D6D825}</author>
    <author>tc={CA0F8225-9D44-4AEF-A903-2C19CBF226A4}</author>
    <author>tc={594ED0A3-788B-4541-9CB7-1AC06A6752C1}</author>
    <author>tc={9C07633E-D4D5-4A3E-8F1A-B33268F65BB9}</author>
    <author>tc={576B5CF7-D72D-4917-9CE3-3FA05A7CF503}</author>
  </authors>
  <commentLis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gandum pada cell ini</t>
        </r>
      </text>
    </comment>
    <comment ref="D12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tepung gandum dalam cell ini</t>
        </r>
      </text>
    </comment>
    <comment ref="D17" authorId="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ubi kayu dalam cell ini</t>
        </r>
      </text>
    </comment>
    <comment ref="D21" authorId="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sagu segar dalam cell ini</t>
        </r>
      </text>
    </comment>
    <comment ref="D22" authorId="4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tepung sagu dalam cell ini</t>
        </r>
      </text>
    </comment>
    <comment ref="D27" authorId="5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GKP/Gula konsumsi dalam cell ini</t>
        </r>
      </text>
    </comment>
    <comment ref="D28" authorId="6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gula rafinasi/ gula industri dalam cell ini</t>
        </r>
      </text>
    </comment>
    <comment ref="E33" authorId="7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Apabila data yang diperoleh sudah dalam bentuk tanah lepas kulit, maka konversi diganti dengan 1</t>
        </r>
      </text>
    </comment>
    <comment ref="E83" authorId="8" shapeId="0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Penting:
Data yang dimasukan sudah dalam bentuk rogol. </t>
        </r>
      </text>
    </comment>
    <comment ref="D85" authorId="9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Isi data bawang putih segar dalam cell ini, pastikan data sudah dalam bentuk rogol</t>
        </r>
      </text>
    </comment>
    <comment ref="C119" authorId="1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Data Daging dalam bentuk daging murni</t>
        </r>
      </text>
    </comment>
    <comment ref="C180" authorId="1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Apabila data yang diperoleh sudah dalam bentuk minyak kacang tanah maka tidak perlu dilakukan konversi
Reply:
    Ganti 0,52 menjadi 1</t>
        </r>
      </text>
    </comment>
    <comment ref="C183" authorId="12" shapeId="0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Penting:
Apabila data yang diperoleh dalam bentuk minyak jagung, maka tidak perlu dilakukan konversi
Reply:
    Ganti konversi 0,68 menjadi 1
</t>
        </r>
      </text>
    </comment>
  </commentList>
</comments>
</file>

<file path=xl/comments5.xml><?xml version="1.0" encoding="utf-8"?>
<comments xmlns="http://schemas.openxmlformats.org/spreadsheetml/2006/main">
  <authors>
    <author>tc={1BC06CC2-F27D-48AD-BB30-C1E93D4D187B}</author>
    <author>tc={266545DD-FAB7-4D79-A95E-D84727C35AD4}</author>
    <author>tc={266DA121-6F73-47D3-98EE-5A642EAEF7D6}</author>
    <author>tc={15B930EC-32AC-42E4-B108-C13E6948981D}</author>
    <author>tc={3F0CB42E-4AE8-411B-9478-E0ABDB4F7B77}</author>
    <author>tc={C969FFD3-AD7F-4024-884B-E8B12EA95401}</author>
    <author>tc={86092734-8B72-4C21-8CA7-F9432F4DBAA2}</author>
    <author>tc={98D84F6E-A93E-417D-895A-7703F57C5BA7}</author>
    <author>tc={5CB3364B-8976-4488-9BE5-670BA79E7FAC}</author>
    <author>tc={E40D2E30-F5DF-463D-8E1C-D9F051395C65}</author>
    <author>tc={7A49F8A4-D8BD-468C-ABFE-A45F72D62933}</author>
    <author>tc={32FEB9A4-31C0-4E2C-A69C-9940EDA8FAFB}</author>
    <author>tc={FC6AB309-6ACA-4261-9491-B52842A773D3}</author>
    <author>tc={640B700E-ECE4-4937-AD81-63A956879B9F}</author>
  </authors>
  <commentLis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gandum pada cell ini</t>
        </r>
      </text>
    </comment>
    <comment ref="D12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tepung gandum dalam cell ini</t>
        </r>
      </text>
    </comment>
    <comment ref="D17" authorId="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ubi kayu dalam cell ini</t>
        </r>
      </text>
    </comment>
    <comment ref="D21" authorId="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sagu segar dalam cell ini</t>
        </r>
      </text>
    </comment>
    <comment ref="D22" authorId="4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tepung sagu dalam cell ini</t>
        </r>
      </text>
    </comment>
    <comment ref="D23" authorId="5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tepung sagu dalam cell ini</t>
        </r>
      </text>
    </comment>
    <comment ref="D27" authorId="6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GKP/Gula konsumsi dalam cell ini</t>
        </r>
      </text>
    </comment>
    <comment ref="D28" authorId="7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Masukan data gula rafinasi/ gula industri dalam cell ini</t>
        </r>
      </text>
    </comment>
    <comment ref="E33" authorId="8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Apabila data yang diperoleh sudah dalam bentuk tanah lepas kulit, maka konversi diganti dengan 1</t>
        </r>
      </text>
    </comment>
    <comment ref="E83" authorId="9" shapeId="0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Penting:
Data yang dimasukan sudah dalam bentuk rogol. </t>
        </r>
      </text>
    </comment>
    <comment ref="E85" authorId="10" shapeId="0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Penting:
Data yang dimasukan sudah dalam bentuk rogol. </t>
        </r>
      </text>
    </comment>
    <comment ref="C119" authorId="1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Data Daging dalam bentuk daging murni</t>
        </r>
      </text>
    </comment>
    <comment ref="C180" authorId="1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Apabila data yang diperoleh sudah dalam bentuk minyak kacang tanah maka tidak perlu dilakukan konversi</t>
        </r>
      </text>
    </comment>
    <comment ref="C183" authorId="1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Apabila data yang diperoleh dalam bentuk minyak jagung, maka tidak perlu dilakukan konversi</t>
        </r>
      </text>
    </comment>
  </commentList>
</comments>
</file>

<file path=xl/comments6.xml><?xml version="1.0" encoding="utf-8"?>
<comments xmlns="http://schemas.openxmlformats.org/spreadsheetml/2006/main">
  <authors>
    <author>tc={9E5F8916-5513-4B15-A869-BD6418843210}</author>
    <author>tc={B824E746-89A7-42FF-B65E-5FF07F6531FD}</author>
    <author>anwar</author>
  </authors>
  <commentList>
    <comment ref="E15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Penggunaan jagung JPK 14% sebagian besar untuk pakan, sehingga wajib mengisi data rill pakan</t>
        </r>
      </text>
    </comment>
    <comment ref="O15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Persentase berdasarkan data rill penggunaan jagung untuk industri pangan nasional</t>
        </r>
      </text>
    </comment>
    <comment ref="W32" authorId="2" shapeId="0">
      <text>
        <r>
          <rPr>
            <b/>
            <sz val="9"/>
            <color indexed="81"/>
            <rFont val="Tahoma"/>
            <family val="2"/>
          </rPr>
          <t>Isi dengan data luas tanam (hektar)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tc={EFA3C258-66F1-4C09-8C08-0CA96D1D0089}</author>
    <author>tc={FFAD52D1-A4CD-4A71-826C-0772B9F24965}</author>
    <author>tc={6B527367-E6C8-4611-8C28-CF76EA05F3F1}</author>
  </authors>
  <commentList>
    <comment ref="E1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Penggunaan jagung JPK 14% sebagian besar untuk pakan, sehingga wajib mengisi data rill pakan</t>
        </r>
      </text>
    </comment>
    <comment ref="E14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Penting:
Penggunaan jagung JPK 14% sebagian besar untuk pakan, sehingga wajib mengisi data rill pakan</t>
        </r>
      </text>
    </comment>
    <comment ref="O14" authorId="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Data industri nasional untuk pangan berdasarkan data rill</t>
        </r>
      </text>
    </comment>
  </commentList>
</comments>
</file>

<file path=xl/comments8.xml><?xml version="1.0" encoding="utf-8"?>
<comments xmlns="http://schemas.openxmlformats.org/spreadsheetml/2006/main">
  <authors>
    <author>tc={B0E29A39-98EF-4EEB-BA3A-F54949CC82BF}</author>
  </authors>
  <commentList>
    <comment ref="Q5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Ketersediaan per zat gizi, dilihat dari kolom bahan makanan</t>
        </r>
      </text>
    </comment>
  </commentList>
</comments>
</file>

<file path=xl/sharedStrings.xml><?xml version="1.0" encoding="utf-8"?>
<sst xmlns="http://schemas.openxmlformats.org/spreadsheetml/2006/main" count="3357" uniqueCount="634">
  <si>
    <t xml:space="preserve">DATA PRODUKSI </t>
  </si>
  <si>
    <t>NERACA BAHAN MAKANAN</t>
  </si>
  <si>
    <t>IV. BUAH BIJI BERMINYAK</t>
  </si>
  <si>
    <t>PULSES NUT AND OIL SEEDS</t>
  </si>
  <si>
    <t>Melon</t>
  </si>
  <si>
    <t>Lemon/Lemon</t>
  </si>
  <si>
    <t>Jeruk Besar/Pomelo</t>
  </si>
  <si>
    <t>Kurma/Date Fruit</t>
  </si>
  <si>
    <t>Pir/Pear</t>
  </si>
  <si>
    <t>Aprikot, Ceri Dan Persik/Apricot,cherry, Nectarine</t>
  </si>
  <si>
    <t>Rasberry Dan Blackberry</t>
  </si>
  <si>
    <t>Kiwi/Kiwi</t>
  </si>
  <si>
    <t>Kesemek/Persimon</t>
  </si>
  <si>
    <t>Lengkeng</t>
  </si>
  <si>
    <t>Leci/Lychee</t>
  </si>
  <si>
    <t>Buah Naga</t>
  </si>
  <si>
    <t>Jeruk Nipis</t>
  </si>
  <si>
    <t>Delima</t>
  </si>
  <si>
    <t>Buah Lainnya</t>
  </si>
  <si>
    <t>VI. SAYUR-SAYURAN/ VEGETABLES</t>
  </si>
  <si>
    <t>Cabe Rawit</t>
  </si>
  <si>
    <t>Jamur Merang</t>
  </si>
  <si>
    <t>Jamur Lainnya</t>
  </si>
  <si>
    <t>Kacang Kapri</t>
  </si>
  <si>
    <t>Selada</t>
  </si>
  <si>
    <t>Asparagus</t>
  </si>
  <si>
    <t>Seledri</t>
  </si>
  <si>
    <t>Bawang Bombai</t>
  </si>
  <si>
    <t>Kuwe</t>
  </si>
  <si>
    <t>Baronang</t>
  </si>
  <si>
    <t>Ekor Kuning</t>
  </si>
  <si>
    <t>Selar</t>
  </si>
  <si>
    <t>Gabus</t>
  </si>
  <si>
    <t>Tawes</t>
  </si>
  <si>
    <t>Manyung</t>
  </si>
  <si>
    <t>Layur</t>
  </si>
  <si>
    <t>Pari</t>
  </si>
  <si>
    <t>Belut/Sidat</t>
  </si>
  <si>
    <t>Sepat/Baung/Betok</t>
  </si>
  <si>
    <t>XI. MINYAK &amp; LEMAK</t>
  </si>
  <si>
    <t>OILS &amp; FATS</t>
  </si>
  <si>
    <t>Minyak Jagung</t>
  </si>
  <si>
    <t>Minyak Zaitun</t>
  </si>
  <si>
    <t>Minyak Wijen</t>
  </si>
  <si>
    <t>Minyak Kedelai</t>
  </si>
  <si>
    <t>Produksi Kotor</t>
  </si>
  <si>
    <t>Konversi</t>
  </si>
  <si>
    <t>(ton)</t>
  </si>
  <si>
    <t>Jenis Bahan Makanan</t>
  </si>
  <si>
    <t>Commodity</t>
  </si>
  <si>
    <r>
      <t>I. PADI-PADIAN/</t>
    </r>
    <r>
      <rPr>
        <b/>
        <i/>
        <sz val="8"/>
        <rFont val="Times New Roman"/>
        <family val="1"/>
      </rPr>
      <t>CEREALS</t>
    </r>
  </si>
  <si>
    <r>
      <t>Jagung/</t>
    </r>
    <r>
      <rPr>
        <i/>
        <sz val="8"/>
        <rFont val="Times New Roman"/>
        <family val="1"/>
      </rPr>
      <t>Maize</t>
    </r>
  </si>
  <si>
    <r>
      <t xml:space="preserve">Jagung basah/ </t>
    </r>
    <r>
      <rPr>
        <i/>
        <sz val="8"/>
        <rFont val="Times New Roman"/>
        <family val="1"/>
      </rPr>
      <t>Fresh maize</t>
    </r>
  </si>
  <si>
    <r>
      <t>Gandum/</t>
    </r>
    <r>
      <rPr>
        <i/>
        <sz val="8"/>
        <rFont val="Times New Roman"/>
        <family val="1"/>
      </rPr>
      <t>Wheat</t>
    </r>
  </si>
  <si>
    <r>
      <t xml:space="preserve">Tepung Gandum/ </t>
    </r>
    <r>
      <rPr>
        <i/>
        <sz val="8"/>
        <rFont val="Times New Roman"/>
        <family val="1"/>
      </rPr>
      <t>Wheat flour</t>
    </r>
  </si>
  <si>
    <r>
      <t>II. MAKANAN BERPATI/</t>
    </r>
    <r>
      <rPr>
        <b/>
        <i/>
        <sz val="8"/>
        <rFont val="Times New Roman"/>
        <family val="1"/>
      </rPr>
      <t xml:space="preserve"> STARCHY FOOD</t>
    </r>
  </si>
  <si>
    <r>
      <t>Ubi jalar/</t>
    </r>
    <r>
      <rPr>
        <i/>
        <sz val="8"/>
        <rFont val="Times New Roman"/>
        <family val="1"/>
      </rPr>
      <t>Sweet potatoes</t>
    </r>
  </si>
  <si>
    <r>
      <t>Ubi kayu/</t>
    </r>
    <r>
      <rPr>
        <i/>
        <sz val="8"/>
        <rFont val="Times New Roman"/>
        <family val="1"/>
      </rPr>
      <t>Cassava</t>
    </r>
  </si>
  <si>
    <r>
      <t>Tepung sagu/</t>
    </r>
    <r>
      <rPr>
        <i/>
        <sz val="8"/>
        <rFont val="Times New Roman"/>
        <family val="1"/>
      </rPr>
      <t>Sago flour</t>
    </r>
  </si>
  <si>
    <r>
      <t>III. GULA/</t>
    </r>
    <r>
      <rPr>
        <b/>
        <i/>
        <sz val="8"/>
        <rFont val="Times New Roman"/>
        <family val="1"/>
      </rPr>
      <t>SUGAR</t>
    </r>
  </si>
  <si>
    <r>
      <t>Gula pasir/White</t>
    </r>
    <r>
      <rPr>
        <i/>
        <sz val="8"/>
        <rFont val="Times New Roman"/>
        <family val="1"/>
      </rPr>
      <t xml:space="preserve"> sugar</t>
    </r>
  </si>
  <si>
    <r>
      <t>Gula mangkok/</t>
    </r>
    <r>
      <rPr>
        <i/>
        <sz val="8"/>
        <rFont val="Times New Roman"/>
        <family val="1"/>
      </rPr>
      <t>Other sugar</t>
    </r>
  </si>
  <si>
    <r>
      <t>Kacang tanah berkulit/</t>
    </r>
    <r>
      <rPr>
        <i/>
        <sz val="8"/>
        <rFont val="Times New Roman"/>
        <family val="1"/>
      </rPr>
      <t>Groundnuts in shell</t>
    </r>
  </si>
  <si>
    <r>
      <t>Kacang tanah lepas kulit/</t>
    </r>
    <r>
      <rPr>
        <i/>
        <sz val="8"/>
        <rFont val="Times New Roman"/>
        <family val="1"/>
      </rPr>
      <t>Groundnuts shelled</t>
    </r>
  </si>
  <si>
    <r>
      <t>Kedelai/</t>
    </r>
    <r>
      <rPr>
        <i/>
        <sz val="8"/>
        <rFont val="Times New Roman"/>
        <family val="1"/>
      </rPr>
      <t>Soyabeans</t>
    </r>
  </si>
  <si>
    <r>
      <t>Kacang hijau/</t>
    </r>
    <r>
      <rPr>
        <i/>
        <sz val="8"/>
        <rFont val="Times New Roman"/>
        <family val="1"/>
      </rPr>
      <t>Mungbean</t>
    </r>
  </si>
  <si>
    <r>
      <t>Kelapa daging/</t>
    </r>
    <r>
      <rPr>
        <i/>
        <sz val="8"/>
        <rFont val="Times New Roman"/>
        <family val="1"/>
      </rPr>
      <t>Coconut fresh</t>
    </r>
  </si>
  <si>
    <r>
      <t>Kopra/</t>
    </r>
    <r>
      <rPr>
        <i/>
        <sz val="8"/>
        <rFont val="Times New Roman"/>
        <family val="1"/>
      </rPr>
      <t>Copra</t>
    </r>
  </si>
  <si>
    <r>
      <t>V. BUAH-BUAHAN/</t>
    </r>
    <r>
      <rPr>
        <b/>
        <i/>
        <sz val="8"/>
        <rFont val="Times New Roman"/>
        <family val="1"/>
      </rPr>
      <t>FRUITS</t>
    </r>
  </si>
  <si>
    <r>
      <t>Alpokat/</t>
    </r>
    <r>
      <rPr>
        <i/>
        <sz val="8"/>
        <rFont val="Times New Roman"/>
        <family val="1"/>
      </rPr>
      <t>Avocados</t>
    </r>
  </si>
  <si>
    <r>
      <t>Jeruk/</t>
    </r>
    <r>
      <rPr>
        <i/>
        <sz val="8"/>
        <rFont val="Times New Roman"/>
        <family val="1"/>
      </rPr>
      <t>Oranges</t>
    </r>
  </si>
  <si>
    <r>
      <t>Duku/</t>
    </r>
    <r>
      <rPr>
        <i/>
        <sz val="8"/>
        <rFont val="Times New Roman"/>
        <family val="1"/>
      </rPr>
      <t>Lanzon</t>
    </r>
  </si>
  <si>
    <r>
      <t>Durian/</t>
    </r>
    <r>
      <rPr>
        <i/>
        <sz val="8"/>
        <rFont val="Times New Roman"/>
        <family val="1"/>
      </rPr>
      <t>Durians</t>
    </r>
  </si>
  <si>
    <r>
      <t>Jambu/</t>
    </r>
    <r>
      <rPr>
        <i/>
        <sz val="8"/>
        <rFont val="Times New Roman"/>
        <family val="1"/>
      </rPr>
      <t>Waterapples</t>
    </r>
  </si>
  <si>
    <r>
      <t>Jambu Air /</t>
    </r>
    <r>
      <rPr>
        <i/>
        <sz val="8"/>
        <rFont val="Times New Roman"/>
        <family val="1"/>
      </rPr>
      <t>Rose apple</t>
    </r>
  </si>
  <si>
    <r>
      <t>Mangga/</t>
    </r>
    <r>
      <rPr>
        <i/>
        <sz val="8"/>
        <rFont val="Times New Roman"/>
        <family val="1"/>
      </rPr>
      <t>Mangoes</t>
    </r>
  </si>
  <si>
    <r>
      <t>Nanas/</t>
    </r>
    <r>
      <rPr>
        <i/>
        <sz val="8"/>
        <rFont val="Times New Roman"/>
        <family val="1"/>
      </rPr>
      <t>Pineapples</t>
    </r>
  </si>
  <si>
    <r>
      <t>Pepaya/</t>
    </r>
    <r>
      <rPr>
        <i/>
        <sz val="8"/>
        <rFont val="Times New Roman"/>
        <family val="1"/>
      </rPr>
      <t>Papayas</t>
    </r>
  </si>
  <si>
    <r>
      <t>Pisang/</t>
    </r>
    <r>
      <rPr>
        <i/>
        <sz val="8"/>
        <rFont val="Times New Roman"/>
        <family val="1"/>
      </rPr>
      <t>Bananas</t>
    </r>
  </si>
  <si>
    <r>
      <t>Rambutan/</t>
    </r>
    <r>
      <rPr>
        <i/>
        <sz val="8"/>
        <rFont val="Times New Roman"/>
        <family val="1"/>
      </rPr>
      <t>Rambutans</t>
    </r>
  </si>
  <si>
    <r>
      <t>Salak/</t>
    </r>
    <r>
      <rPr>
        <i/>
        <sz val="8"/>
        <rFont val="Times New Roman"/>
        <family val="1"/>
      </rPr>
      <t>Salacia</t>
    </r>
  </si>
  <si>
    <r>
      <t>Sawo/</t>
    </r>
    <r>
      <rPr>
        <i/>
        <sz val="8"/>
        <rFont val="Times New Roman"/>
        <family val="1"/>
      </rPr>
      <t>Sapodila</t>
    </r>
  </si>
  <si>
    <r>
      <t>Semangka/</t>
    </r>
    <r>
      <rPr>
        <i/>
        <sz val="8"/>
        <rFont val="Times New Roman"/>
        <family val="1"/>
      </rPr>
      <t>Watermelon</t>
    </r>
  </si>
  <si>
    <r>
      <t>Belimbing/</t>
    </r>
    <r>
      <rPr>
        <i/>
        <sz val="8"/>
        <rFont val="Times New Roman"/>
        <family val="1"/>
      </rPr>
      <t xml:space="preserve"> Star Fruit</t>
    </r>
  </si>
  <si>
    <r>
      <t xml:space="preserve">Manggis/ </t>
    </r>
    <r>
      <rPr>
        <i/>
        <sz val="8"/>
        <rFont val="Times New Roman"/>
        <family val="1"/>
      </rPr>
      <t>Mangosteen</t>
    </r>
  </si>
  <si>
    <r>
      <t xml:space="preserve">Nangka/Cempedak/ </t>
    </r>
    <r>
      <rPr>
        <i/>
        <sz val="8"/>
        <rFont val="Times New Roman"/>
        <family val="1"/>
      </rPr>
      <t>Jackfruit</t>
    </r>
  </si>
  <si>
    <r>
      <t xml:space="preserve">Markisa/ </t>
    </r>
    <r>
      <rPr>
        <i/>
        <sz val="8"/>
        <rFont val="Times New Roman"/>
        <family val="1"/>
      </rPr>
      <t>Marquisa</t>
    </r>
  </si>
  <si>
    <r>
      <t xml:space="preserve">Sirsak/ </t>
    </r>
    <r>
      <rPr>
        <i/>
        <sz val="8"/>
        <rFont val="Times New Roman"/>
        <family val="1"/>
      </rPr>
      <t>Soursop</t>
    </r>
  </si>
  <si>
    <r>
      <t xml:space="preserve">Sukun/ </t>
    </r>
    <r>
      <rPr>
        <i/>
        <sz val="8"/>
        <rFont val="Times New Roman"/>
        <family val="1"/>
      </rPr>
      <t>Bread Fruit</t>
    </r>
  </si>
  <si>
    <r>
      <t xml:space="preserve">Apel/ </t>
    </r>
    <r>
      <rPr>
        <i/>
        <sz val="8"/>
        <rFont val="Times New Roman"/>
        <family val="1"/>
      </rPr>
      <t>Apple</t>
    </r>
  </si>
  <si>
    <r>
      <t xml:space="preserve">Anggur/ </t>
    </r>
    <r>
      <rPr>
        <i/>
        <sz val="8"/>
        <rFont val="Times New Roman"/>
        <family val="1"/>
      </rPr>
      <t>Grape</t>
    </r>
  </si>
  <si>
    <r>
      <t>Strobery/</t>
    </r>
    <r>
      <rPr>
        <i/>
        <sz val="8"/>
        <rFont val="Times New Roman"/>
        <family val="1"/>
      </rPr>
      <t>Strawberry</t>
    </r>
  </si>
  <si>
    <r>
      <t>Blewah/</t>
    </r>
    <r>
      <rPr>
        <i/>
        <sz val="8"/>
        <rFont val="Times New Roman"/>
        <family val="1"/>
      </rPr>
      <t>Cantalaupe</t>
    </r>
  </si>
  <si>
    <r>
      <t>Buah Ara (Buah Tin)/</t>
    </r>
    <r>
      <rPr>
        <i/>
        <sz val="8"/>
        <rFont val="Times New Roman"/>
        <family val="1"/>
      </rPr>
      <t>Fig</t>
    </r>
  </si>
  <si>
    <r>
      <t xml:space="preserve">Bawang Merah/ </t>
    </r>
    <r>
      <rPr>
        <i/>
        <sz val="8"/>
        <rFont val="Times New Roman"/>
        <family val="1"/>
      </rPr>
      <t>Shallot(Onion)</t>
    </r>
  </si>
  <si>
    <r>
      <t>Ketimun/</t>
    </r>
    <r>
      <rPr>
        <i/>
        <sz val="8"/>
        <rFont val="Times New Roman"/>
        <family val="1"/>
      </rPr>
      <t>Cucumber</t>
    </r>
  </si>
  <si>
    <r>
      <t>Kacang Merah/</t>
    </r>
    <r>
      <rPr>
        <i/>
        <sz val="8"/>
        <rFont val="Times New Roman"/>
        <family val="1"/>
      </rPr>
      <t>Kidney beans</t>
    </r>
  </si>
  <si>
    <r>
      <t xml:space="preserve">Kacang Panjang/ </t>
    </r>
    <r>
      <rPr>
        <i/>
        <sz val="8"/>
        <rFont val="Times New Roman"/>
        <family val="1"/>
      </rPr>
      <t>String beans</t>
    </r>
  </si>
  <si>
    <r>
      <t>Kentang/</t>
    </r>
    <r>
      <rPr>
        <i/>
        <sz val="8"/>
        <rFont val="Times New Roman"/>
        <family val="1"/>
      </rPr>
      <t>Potatoes</t>
    </r>
  </si>
  <si>
    <r>
      <t>Kubis/</t>
    </r>
    <r>
      <rPr>
        <i/>
        <sz val="8"/>
        <rFont val="Times New Roman"/>
        <family val="1"/>
      </rPr>
      <t>Cabbage</t>
    </r>
  </si>
  <si>
    <r>
      <t>Tomat/</t>
    </r>
    <r>
      <rPr>
        <i/>
        <sz val="8"/>
        <rFont val="Times New Roman"/>
        <family val="1"/>
      </rPr>
      <t>Tomatoes</t>
    </r>
  </si>
  <si>
    <r>
      <t>Wortel/</t>
    </r>
    <r>
      <rPr>
        <i/>
        <sz val="8"/>
        <rFont val="Times New Roman"/>
        <family val="1"/>
      </rPr>
      <t>Carrots</t>
    </r>
  </si>
  <si>
    <r>
      <t>Terong/</t>
    </r>
    <r>
      <rPr>
        <i/>
        <sz val="8"/>
        <rFont val="Times New Roman"/>
        <family val="1"/>
      </rPr>
      <t>Eggplant</t>
    </r>
  </si>
  <si>
    <r>
      <t xml:space="preserve">Petsai/ Sawi/ </t>
    </r>
    <r>
      <rPr>
        <i/>
        <sz val="8"/>
        <rFont val="Times New Roman"/>
        <family val="1"/>
      </rPr>
      <t>Mustard greens</t>
    </r>
  </si>
  <si>
    <r>
      <t>Bawang Daun/</t>
    </r>
    <r>
      <rPr>
        <i/>
        <sz val="8"/>
        <rFont val="Times New Roman"/>
        <family val="1"/>
      </rPr>
      <t>Spring onion</t>
    </r>
  </si>
  <si>
    <r>
      <t>Kangkung/</t>
    </r>
    <r>
      <rPr>
        <i/>
        <sz val="8"/>
        <rFont val="Times New Roman"/>
        <family val="1"/>
      </rPr>
      <t>Swamp cabbage</t>
    </r>
  </si>
  <si>
    <r>
      <t>Lobak/</t>
    </r>
    <r>
      <rPr>
        <i/>
        <sz val="8"/>
        <rFont val="Times New Roman"/>
        <family val="1"/>
      </rPr>
      <t>Radish</t>
    </r>
  </si>
  <si>
    <r>
      <t>Labu siam/</t>
    </r>
    <r>
      <rPr>
        <i/>
        <sz val="8"/>
        <rFont val="Times New Roman"/>
        <family val="1"/>
      </rPr>
      <t>Chayotte</t>
    </r>
  </si>
  <si>
    <r>
      <t>Buncis/</t>
    </r>
    <r>
      <rPr>
        <i/>
        <sz val="8"/>
        <rFont val="Times New Roman"/>
        <family val="1"/>
      </rPr>
      <t>Greenbeans</t>
    </r>
  </si>
  <si>
    <r>
      <t>Bayam/</t>
    </r>
    <r>
      <rPr>
        <i/>
        <sz val="8"/>
        <rFont val="Times New Roman"/>
        <family val="1"/>
      </rPr>
      <t>Spinach</t>
    </r>
  </si>
  <si>
    <r>
      <t>Bawang Putih/</t>
    </r>
    <r>
      <rPr>
        <i/>
        <sz val="8"/>
        <rFont val="Times New Roman"/>
        <family val="1"/>
      </rPr>
      <t>Garlic</t>
    </r>
  </si>
  <si>
    <r>
      <t xml:space="preserve">Kembang Kol/ </t>
    </r>
    <r>
      <rPr>
        <i/>
        <sz val="8"/>
        <rFont val="Times New Roman"/>
        <family val="1"/>
      </rPr>
      <t>Cauliflowe</t>
    </r>
    <r>
      <rPr>
        <sz val="8"/>
        <rFont val="Times New Roman"/>
        <family val="1"/>
      </rPr>
      <t>r</t>
    </r>
  </si>
  <si>
    <r>
      <t xml:space="preserve">Melinjo/ </t>
    </r>
    <r>
      <rPr>
        <i/>
        <sz val="8"/>
        <rFont val="Times New Roman"/>
        <family val="1"/>
      </rPr>
      <t>Melinjo</t>
    </r>
  </si>
  <si>
    <r>
      <t xml:space="preserve">Petai/ </t>
    </r>
    <r>
      <rPr>
        <i/>
        <sz val="8"/>
        <rFont val="Times New Roman"/>
        <family val="1"/>
      </rPr>
      <t>Twisted Cluster Bean</t>
    </r>
  </si>
  <si>
    <r>
      <t xml:space="preserve">Jengkol/ </t>
    </r>
    <r>
      <rPr>
        <i/>
        <sz val="8"/>
        <rFont val="Times New Roman"/>
        <family val="1"/>
      </rPr>
      <t>Jengkol</t>
    </r>
  </si>
  <si>
    <r>
      <t xml:space="preserve">Paprika/ </t>
    </r>
    <r>
      <rPr>
        <i/>
        <sz val="8"/>
        <rFont val="Times New Roman"/>
        <family val="1"/>
      </rPr>
      <t>Sweet Pepper</t>
    </r>
  </si>
  <si>
    <r>
      <t>VII. DAGING/</t>
    </r>
    <r>
      <rPr>
        <b/>
        <i/>
        <sz val="8"/>
        <rFont val="Times New Roman"/>
        <family val="1"/>
      </rPr>
      <t>MEAT</t>
    </r>
  </si>
  <si>
    <r>
      <t>Daging Sapi/</t>
    </r>
    <r>
      <rPr>
        <i/>
        <sz val="8"/>
        <rFont val="Times New Roman"/>
        <family val="1"/>
      </rPr>
      <t>Beef</t>
    </r>
  </si>
  <si>
    <r>
      <t>Daging Kerbau/</t>
    </r>
    <r>
      <rPr>
        <i/>
        <sz val="8"/>
        <rFont val="Times New Roman"/>
        <family val="1"/>
      </rPr>
      <t>Buffalo Meat</t>
    </r>
  </si>
  <si>
    <r>
      <t>Daging Kambing/</t>
    </r>
    <r>
      <rPr>
        <i/>
        <sz val="8"/>
        <rFont val="Times New Roman"/>
        <family val="1"/>
      </rPr>
      <t>Mutton</t>
    </r>
  </si>
  <si>
    <r>
      <t>Daging Domba/</t>
    </r>
    <r>
      <rPr>
        <i/>
        <sz val="8"/>
        <rFont val="Times New Roman"/>
        <family val="1"/>
      </rPr>
      <t>Lamb</t>
    </r>
  </si>
  <si>
    <r>
      <t>Daging Kuda/Lainnya/</t>
    </r>
    <r>
      <rPr>
        <i/>
        <sz val="8"/>
        <rFont val="Times New Roman"/>
        <family val="1"/>
      </rPr>
      <t>Horse Meat/Other</t>
    </r>
  </si>
  <si>
    <r>
      <t>Daging Babi/</t>
    </r>
    <r>
      <rPr>
        <i/>
        <sz val="8"/>
        <rFont val="Times New Roman"/>
        <family val="1"/>
      </rPr>
      <t>Pork</t>
    </r>
  </si>
  <si>
    <r>
      <t>Daging Ayam Buras/</t>
    </r>
    <r>
      <rPr>
        <i/>
        <sz val="8"/>
        <rFont val="Times New Roman"/>
        <family val="1"/>
      </rPr>
      <t>Lokal Chicken Meat</t>
    </r>
  </si>
  <si>
    <r>
      <t>Daging Ayam Ras/</t>
    </r>
    <r>
      <rPr>
        <i/>
        <sz val="8"/>
        <rFont val="Times New Roman"/>
        <family val="1"/>
      </rPr>
      <t>Improved Chicken Meat</t>
    </r>
  </si>
  <si>
    <r>
      <t>Daging Itik/</t>
    </r>
    <r>
      <rPr>
        <i/>
        <sz val="8"/>
        <rFont val="Times New Roman"/>
        <family val="1"/>
      </rPr>
      <t>Duck Meat</t>
    </r>
  </si>
  <si>
    <r>
      <t>Daging Puyuh/</t>
    </r>
    <r>
      <rPr>
        <i/>
        <sz val="8"/>
        <rFont val="Times New Roman"/>
        <family val="1"/>
      </rPr>
      <t>Quail Meat</t>
    </r>
  </si>
  <si>
    <r>
      <t>Jeroan semua jenis/</t>
    </r>
    <r>
      <rPr>
        <i/>
        <sz val="8"/>
        <rFont val="Times New Roman"/>
        <family val="1"/>
      </rPr>
      <t>Offal All Kinds</t>
    </r>
  </si>
  <si>
    <r>
      <t>VIII. TELUR/</t>
    </r>
    <r>
      <rPr>
        <b/>
        <i/>
        <sz val="8"/>
        <rFont val="Times New Roman"/>
        <family val="1"/>
      </rPr>
      <t>EGGS</t>
    </r>
  </si>
  <si>
    <r>
      <t>Telur Ayam Buras/</t>
    </r>
    <r>
      <rPr>
        <i/>
        <sz val="8"/>
        <rFont val="Times New Roman"/>
        <family val="1"/>
      </rPr>
      <t xml:space="preserve"> Local Hen Eggs</t>
    </r>
  </si>
  <si>
    <r>
      <t>Telur Itik/</t>
    </r>
    <r>
      <rPr>
        <i/>
        <sz val="8"/>
        <rFont val="Times New Roman"/>
        <family val="1"/>
      </rPr>
      <t>Ducks Eggs</t>
    </r>
  </si>
  <si>
    <r>
      <t>Telur Puyuh/</t>
    </r>
    <r>
      <rPr>
        <i/>
        <sz val="8"/>
        <rFont val="Times New Roman"/>
        <family val="1"/>
      </rPr>
      <t>Quail Eggs</t>
    </r>
  </si>
  <si>
    <r>
      <t>IX. SUSU/</t>
    </r>
    <r>
      <rPr>
        <b/>
        <i/>
        <sz val="8"/>
        <rFont val="Times New Roman"/>
        <family val="1"/>
      </rPr>
      <t>MILK</t>
    </r>
  </si>
  <si>
    <r>
      <t>Susu Sapi/</t>
    </r>
    <r>
      <rPr>
        <i/>
        <sz val="8"/>
        <rFont val="Times New Roman"/>
        <family val="1"/>
      </rPr>
      <t>Cow Milk</t>
    </r>
  </si>
  <si>
    <r>
      <t>Susu Impor/</t>
    </r>
    <r>
      <rPr>
        <i/>
        <sz val="8"/>
        <rFont val="Times New Roman"/>
        <family val="1"/>
      </rPr>
      <t>Imported Milk</t>
    </r>
  </si>
  <si>
    <r>
      <t>X. IKAN/</t>
    </r>
    <r>
      <rPr>
        <b/>
        <i/>
        <sz val="8"/>
        <rFont val="Times New Roman"/>
        <family val="1"/>
      </rPr>
      <t>FISH</t>
    </r>
  </si>
  <si>
    <r>
      <t>Kakap/</t>
    </r>
    <r>
      <rPr>
        <i/>
        <sz val="8"/>
        <rFont val="Times New Roman"/>
        <family val="1"/>
      </rPr>
      <t>Giant Seaperch</t>
    </r>
  </si>
  <si>
    <r>
      <t>Cucut/</t>
    </r>
    <r>
      <rPr>
        <i/>
        <sz val="8"/>
        <rFont val="Times New Roman"/>
        <family val="1"/>
      </rPr>
      <t>Sharks</t>
    </r>
  </si>
  <si>
    <r>
      <t>Bawal/</t>
    </r>
    <r>
      <rPr>
        <i/>
        <sz val="8"/>
        <rFont val="Times New Roman"/>
        <family val="1"/>
      </rPr>
      <t>Pomfret</t>
    </r>
  </si>
  <si>
    <r>
      <t>Teri/</t>
    </r>
    <r>
      <rPr>
        <i/>
        <sz val="8"/>
        <rFont val="Times New Roman"/>
        <family val="1"/>
      </rPr>
      <t>Anchovies</t>
    </r>
  </si>
  <si>
    <r>
      <t>Lemuru/</t>
    </r>
    <r>
      <rPr>
        <i/>
        <sz val="8"/>
        <rFont val="Times New Roman"/>
        <family val="1"/>
      </rPr>
      <t>Indian Oil Sardinella</t>
    </r>
  </si>
  <si>
    <r>
      <t>Kembung/</t>
    </r>
    <r>
      <rPr>
        <i/>
        <sz val="8"/>
        <rFont val="Times New Roman"/>
        <family val="1"/>
      </rPr>
      <t>Indian Mackerels</t>
    </r>
  </si>
  <si>
    <r>
      <t>Tenggiri/</t>
    </r>
    <r>
      <rPr>
        <i/>
        <sz val="8"/>
        <rFont val="Times New Roman"/>
        <family val="1"/>
      </rPr>
      <t>Narrow Bard /King Mackerels</t>
    </r>
  </si>
  <si>
    <r>
      <t>Bandeng/</t>
    </r>
    <r>
      <rPr>
        <i/>
        <sz val="8"/>
        <rFont val="Times New Roman"/>
        <family val="1"/>
      </rPr>
      <t>Milk Fish</t>
    </r>
  </si>
  <si>
    <r>
      <t>Belanak/</t>
    </r>
    <r>
      <rPr>
        <i/>
        <sz val="8"/>
        <rFont val="Times New Roman"/>
        <family val="1"/>
      </rPr>
      <t>Mullets</t>
    </r>
  </si>
  <si>
    <r>
      <t>Mujair/</t>
    </r>
    <r>
      <rPr>
        <i/>
        <sz val="8"/>
        <rFont val="Times New Roman"/>
        <family val="1"/>
      </rPr>
      <t>Mozambique Tilapia</t>
    </r>
  </si>
  <si>
    <r>
      <t>Ikan Mas/</t>
    </r>
    <r>
      <rPr>
        <i/>
        <sz val="8"/>
        <rFont val="Times New Roman"/>
        <family val="1"/>
      </rPr>
      <t>Common Carp</t>
    </r>
  </si>
  <si>
    <r>
      <t>Lele/</t>
    </r>
    <r>
      <rPr>
        <i/>
        <sz val="8"/>
        <rFont val="Times New Roman"/>
        <family val="1"/>
      </rPr>
      <t>Catfish</t>
    </r>
  </si>
  <si>
    <r>
      <t>Patin/</t>
    </r>
    <r>
      <rPr>
        <i/>
        <sz val="8"/>
        <rFont val="Times New Roman"/>
        <family val="1"/>
      </rPr>
      <t>Pangasius spp</t>
    </r>
  </si>
  <si>
    <r>
      <t>Nila/</t>
    </r>
    <r>
      <rPr>
        <i/>
        <sz val="8"/>
        <rFont val="Times New Roman"/>
        <family val="1"/>
      </rPr>
      <t>Nile tilapia</t>
    </r>
  </si>
  <si>
    <r>
      <t>Kerapu/</t>
    </r>
    <r>
      <rPr>
        <i/>
        <sz val="8"/>
        <rFont val="Times New Roman"/>
        <family val="1"/>
      </rPr>
      <t>Groupers</t>
    </r>
  </si>
  <si>
    <r>
      <t>Gurami/</t>
    </r>
    <r>
      <rPr>
        <i/>
        <sz val="8"/>
        <rFont val="Times New Roman"/>
        <family val="1"/>
      </rPr>
      <t>Giant gouramy</t>
    </r>
  </si>
  <si>
    <r>
      <t>Udang/</t>
    </r>
    <r>
      <rPr>
        <i/>
        <sz val="8"/>
        <rFont val="Times New Roman"/>
        <family val="1"/>
      </rPr>
      <t>Shrimps</t>
    </r>
  </si>
  <si>
    <r>
      <t>Rajungan dan Kepiting/</t>
    </r>
    <r>
      <rPr>
        <i/>
        <sz val="8"/>
        <rFont val="Times New Roman"/>
        <family val="1"/>
      </rPr>
      <t>Swimming and mud crab</t>
    </r>
  </si>
  <si>
    <r>
      <t xml:space="preserve">Kekerangan / </t>
    </r>
    <r>
      <rPr>
        <i/>
        <sz val="8"/>
        <rFont val="Times New Roman"/>
        <family val="1"/>
      </rPr>
      <t>Clams</t>
    </r>
  </si>
  <si>
    <r>
      <t>Cumi-cumi, Sotong &amp; Gurita/</t>
    </r>
    <r>
      <rPr>
        <i/>
        <sz val="8"/>
        <rFont val="Times New Roman"/>
        <family val="1"/>
      </rPr>
      <t>Cuttle fish,squids and octopus</t>
    </r>
  </si>
  <si>
    <r>
      <t xml:space="preserve">Rumput laut/ </t>
    </r>
    <r>
      <rPr>
        <i/>
        <sz val="8"/>
        <rFont val="Times New Roman"/>
        <family val="1"/>
      </rPr>
      <t>Sea weeds</t>
    </r>
  </si>
  <si>
    <r>
      <t>Lainnya/</t>
    </r>
    <r>
      <rPr>
        <i/>
        <sz val="8"/>
        <rFont val="Times New Roman"/>
        <family val="1"/>
      </rPr>
      <t>Others</t>
    </r>
  </si>
  <si>
    <r>
      <t>Minyak Kacang tanah/</t>
    </r>
    <r>
      <rPr>
        <i/>
        <sz val="8"/>
        <rFont val="Times New Roman"/>
        <family val="1"/>
      </rPr>
      <t>Peanut Oil</t>
    </r>
  </si>
  <si>
    <r>
      <t>Minyak goreng kelapa/</t>
    </r>
    <r>
      <rPr>
        <i/>
        <sz val="8"/>
        <rFont val="Times New Roman"/>
        <family val="1"/>
      </rPr>
      <t>Coconut oils</t>
    </r>
  </si>
  <si>
    <r>
      <t>Minyak goreng sawit/</t>
    </r>
    <r>
      <rPr>
        <i/>
        <sz val="8"/>
        <rFont val="Times New Roman"/>
        <family val="1"/>
      </rPr>
      <t>Cooking oils</t>
    </r>
  </si>
  <si>
    <r>
      <t>Lemak Sapi/</t>
    </r>
    <r>
      <rPr>
        <i/>
        <sz val="8"/>
        <rFont val="Times New Roman"/>
        <family val="1"/>
      </rPr>
      <t>Cattle Fats</t>
    </r>
  </si>
  <si>
    <r>
      <t>Lemak Kerbau/</t>
    </r>
    <r>
      <rPr>
        <i/>
        <sz val="8"/>
        <rFont val="Times New Roman"/>
        <family val="1"/>
      </rPr>
      <t>Buffalo Fats</t>
    </r>
  </si>
  <si>
    <r>
      <t>Lemak Kambing/</t>
    </r>
    <r>
      <rPr>
        <i/>
        <sz val="8"/>
        <rFont val="Times New Roman"/>
        <family val="1"/>
      </rPr>
      <t>Goat Fats</t>
    </r>
  </si>
  <si>
    <r>
      <t>Lemak Domba/</t>
    </r>
    <r>
      <rPr>
        <i/>
        <sz val="8"/>
        <rFont val="Times New Roman"/>
        <family val="1"/>
      </rPr>
      <t>Sheep Fats</t>
    </r>
  </si>
  <si>
    <r>
      <t>Lemak Babi/</t>
    </r>
    <r>
      <rPr>
        <i/>
        <sz val="8"/>
        <rFont val="Times New Roman"/>
        <family val="1"/>
      </rPr>
      <t>Pig Fats</t>
    </r>
  </si>
  <si>
    <r>
      <t>Cabe Besar/tw/teropong/</t>
    </r>
    <r>
      <rPr>
        <i/>
        <sz val="8"/>
        <rFont val="Times New Roman"/>
        <family val="1"/>
      </rPr>
      <t>Chilli</t>
    </r>
  </si>
  <si>
    <r>
      <t xml:space="preserve">Jamur Tiram/ </t>
    </r>
    <r>
      <rPr>
        <i/>
        <sz val="8"/>
        <rFont val="Times New Roman"/>
        <family val="1"/>
      </rPr>
      <t>Mushroom</t>
    </r>
  </si>
  <si>
    <r>
      <t>Beras/</t>
    </r>
    <r>
      <rPr>
        <i/>
        <sz val="8"/>
        <rFont val="Times New Roman"/>
        <family val="1"/>
      </rPr>
      <t xml:space="preserve"> rice</t>
    </r>
  </si>
  <si>
    <t>Keterangan</t>
  </si>
  <si>
    <t>GKG ke beras</t>
  </si>
  <si>
    <t>KA 28% ke KA 14%</t>
  </si>
  <si>
    <r>
      <rPr>
        <sz val="8"/>
        <rFont val="Times New Roman"/>
        <family val="1"/>
      </rPr>
      <t>Gabah/</t>
    </r>
    <r>
      <rPr>
        <i/>
        <sz val="8"/>
        <rFont val="Times New Roman"/>
        <family val="1"/>
      </rPr>
      <t xml:space="preserve"> unhusked rice</t>
    </r>
  </si>
  <si>
    <t>Lainya (Oyong, kecipir, pare, pakis)</t>
  </si>
  <si>
    <r>
      <t>Tuna/Cakalang/Tongkol/</t>
    </r>
    <r>
      <rPr>
        <i/>
        <sz val="8"/>
        <rFont val="Times New Roman"/>
        <family val="1"/>
      </rPr>
      <t xml:space="preserve"> Tunas/Skipjack</t>
    </r>
  </si>
  <si>
    <r>
      <t>Telur Ayam Ras/</t>
    </r>
    <r>
      <rPr>
        <i/>
        <sz val="8"/>
        <rFont val="Times New Roman"/>
        <family val="1"/>
      </rPr>
      <t xml:space="preserve"> Layer Eggs</t>
    </r>
  </si>
  <si>
    <t>Stok Awal</t>
  </si>
  <si>
    <t>Stok Akhir</t>
  </si>
  <si>
    <t>Perubahan Stok</t>
  </si>
  <si>
    <t>Konversi Bibit</t>
  </si>
  <si>
    <t>Kebutuhan Bibit</t>
  </si>
  <si>
    <t>Konversi GKG ke Beras per-Provinsi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</si>
  <si>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</si>
  <si>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</si>
  <si>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</si>
  <si>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</si>
  <si>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</si>
  <si>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</si>
  <si>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</si>
  <si>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</si>
  <si>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Babel</t>
  </si>
  <si>
    <t>Kepri</t>
  </si>
  <si>
    <t>DKI Jakarta</t>
  </si>
  <si>
    <t>Jawa Barat</t>
  </si>
  <si>
    <t>Jawa Tengah</t>
  </si>
  <si>
    <t>DIY</t>
  </si>
  <si>
    <t>Jawa Timur</t>
  </si>
  <si>
    <t>Banten</t>
  </si>
  <si>
    <t>Bali</t>
  </si>
  <si>
    <t>NTB</t>
  </si>
  <si>
    <t>NTT</t>
  </si>
  <si>
    <t>Kalbar</t>
  </si>
  <si>
    <t>Kalteng</t>
  </si>
  <si>
    <t>Kaltim</t>
  </si>
  <si>
    <t>Kaltara</t>
  </si>
  <si>
    <t>Sulut</t>
  </si>
  <si>
    <t>Sulteng</t>
  </si>
  <si>
    <t>Sulsel</t>
  </si>
  <si>
    <t>Sultra</t>
  </si>
  <si>
    <t>Gorontalo</t>
  </si>
  <si>
    <t>Sulbar</t>
  </si>
  <si>
    <t>Maluku</t>
  </si>
  <si>
    <t>Maluku Utara</t>
  </si>
  <si>
    <t>Papua Barat</t>
  </si>
  <si>
    <t>Papua</t>
  </si>
  <si>
    <t>Produksi Konde ke Produksi Rogol</t>
  </si>
  <si>
    <t>DATA BENIH</t>
  </si>
  <si>
    <t>Konversi Benih</t>
  </si>
  <si>
    <t>Kebutuhan Benih</t>
  </si>
  <si>
    <t>DATA INDUSTRI MAKANAN</t>
  </si>
  <si>
    <t>DATA INDUSTRI NON PANGAN</t>
  </si>
  <si>
    <t>Produksi</t>
  </si>
  <si>
    <t>Kebutuhan Industri Non Pangan</t>
  </si>
  <si>
    <t>Industri Makanan</t>
  </si>
  <si>
    <t>Produks/ Luas Tanam</t>
  </si>
  <si>
    <r>
      <t>Jagung/</t>
    </r>
    <r>
      <rPr>
        <i/>
        <sz val="8"/>
        <rFont val="Times New Roman"/>
        <family val="1"/>
      </rPr>
      <t>Maize</t>
    </r>
    <r>
      <rPr>
        <sz val="8"/>
        <rFont val="Times New Roman"/>
        <family val="1"/>
      </rPr>
      <t xml:space="preserve"> </t>
    </r>
  </si>
  <si>
    <t>dikali dengan Luas Tanam (Ha)</t>
  </si>
  <si>
    <r>
      <rPr>
        <b/>
        <sz val="12"/>
        <rFont val="Times New Roman"/>
        <family val="1"/>
      </rPr>
      <t xml:space="preserve">NERACA BAHAN MAKANAN / </t>
    </r>
    <r>
      <rPr>
        <b/>
        <i/>
        <sz val="12"/>
        <rFont val="Times New Roman"/>
        <family val="1"/>
      </rPr>
      <t>FOOD BALANCE SHEET</t>
    </r>
  </si>
  <si>
    <t>Penduduk pertengahan tahun:</t>
  </si>
  <si>
    <t>jiwa</t>
  </si>
  <si>
    <t>Angka Konversi</t>
  </si>
  <si>
    <r>
      <t xml:space="preserve">Penyediaan Dalam Negeri/ </t>
    </r>
    <r>
      <rPr>
        <i/>
        <sz val="8"/>
        <rFont val="Times New Roman"/>
        <family val="1"/>
      </rPr>
      <t>Domestic Supply</t>
    </r>
  </si>
  <si>
    <r>
      <rPr>
        <sz val="8"/>
        <rFont val="Times New Roman"/>
        <family val="1"/>
      </rPr>
      <t xml:space="preserve">Pemakaian Dalam Negeri / </t>
    </r>
    <r>
      <rPr>
        <i/>
        <sz val="8"/>
        <rFont val="Times New Roman"/>
        <family val="1"/>
      </rPr>
      <t>Domestic utilization</t>
    </r>
  </si>
  <si>
    <t>Ketersediaan Per Kapita</t>
  </si>
  <si>
    <t>Penyediaan</t>
  </si>
  <si>
    <r>
      <rPr>
        <sz val="8"/>
        <rFont val="Maiandra GD"/>
        <family val="2"/>
      </rPr>
      <t xml:space="preserve">Pemakaian Dalam Negeri / </t>
    </r>
    <r>
      <rPr>
        <i/>
        <sz val="8"/>
        <rFont val="Maiandra GD"/>
        <family val="2"/>
      </rPr>
      <t>Domestic utilization</t>
    </r>
  </si>
  <si>
    <t>Impor</t>
  </si>
  <si>
    <t>Ekspor</t>
  </si>
  <si>
    <t>Total Penyediaan Dalam Negeri</t>
  </si>
  <si>
    <t>Pakan</t>
  </si>
  <si>
    <t>Bibit</t>
  </si>
  <si>
    <t>Diolah untuk</t>
  </si>
  <si>
    <t>Tercecer</t>
  </si>
  <si>
    <t>Penggunaan Lain</t>
  </si>
  <si>
    <t>Bahan</t>
  </si>
  <si>
    <t>Total Pemakaian Dalam Negeri</t>
  </si>
  <si>
    <t>Per capita availability</t>
  </si>
  <si>
    <t>Dalam</t>
  </si>
  <si>
    <t>Production</t>
  </si>
  <si>
    <t>Manufactured for</t>
  </si>
  <si>
    <t>Makanan</t>
  </si>
  <si>
    <t>Kg/Th</t>
  </si>
  <si>
    <t>Gram/</t>
  </si>
  <si>
    <t>Kalori/</t>
  </si>
  <si>
    <t>Protein/</t>
  </si>
  <si>
    <t>Lemak/</t>
  </si>
  <si>
    <t>Negeri</t>
  </si>
  <si>
    <t>Masukan</t>
  </si>
  <si>
    <t>Keluaran</t>
  </si>
  <si>
    <t>Changes</t>
  </si>
  <si>
    <t>Imports</t>
  </si>
  <si>
    <t>Exports</t>
  </si>
  <si>
    <t>Feed</t>
  </si>
  <si>
    <t>Seed</t>
  </si>
  <si>
    <t>Bukan</t>
  </si>
  <si>
    <t>Waste</t>
  </si>
  <si>
    <t>Other Uses</t>
  </si>
  <si>
    <t>Food</t>
  </si>
  <si>
    <t>hari</t>
  </si>
  <si>
    <t>Calories</t>
  </si>
  <si>
    <t>Proteins</t>
  </si>
  <si>
    <t>Fats</t>
  </si>
  <si>
    <t>Domestic</t>
  </si>
  <si>
    <t>Input</t>
  </si>
  <si>
    <t>Output</t>
  </si>
  <si>
    <t>in</t>
  </si>
  <si>
    <t>Kg/Year</t>
  </si>
  <si>
    <t>Grams/</t>
  </si>
  <si>
    <t>kkal/hari</t>
  </si>
  <si>
    <t>Gram/hr</t>
  </si>
  <si>
    <t>Supply</t>
  </si>
  <si>
    <t>Kandungan Zat Gizi</t>
  </si>
  <si>
    <t>Stock</t>
  </si>
  <si>
    <t>Non food</t>
  </si>
  <si>
    <t>day</t>
  </si>
  <si>
    <t>kcal/day</t>
  </si>
  <si>
    <t>Grams/day</t>
  </si>
  <si>
    <t xml:space="preserve">   BDD</t>
  </si>
  <si>
    <t xml:space="preserve">  Kalori</t>
  </si>
  <si>
    <t xml:space="preserve"> Protein</t>
  </si>
  <si>
    <t xml:space="preserve">   Lemak</t>
  </si>
  <si>
    <t>Vitamin A</t>
  </si>
  <si>
    <t>Vitamin B1</t>
  </si>
  <si>
    <t>Vitamin C</t>
  </si>
  <si>
    <t>Kalsium</t>
  </si>
  <si>
    <t>Fosfor</t>
  </si>
  <si>
    <t>Zat Besi</t>
  </si>
  <si>
    <t>jumlah penduduk (Jiwa)</t>
  </si>
  <si>
    <t/>
  </si>
  <si>
    <t xml:space="preserve"> </t>
  </si>
  <si>
    <t>Total</t>
  </si>
  <si>
    <t xml:space="preserve">           :</t>
  </si>
  <si>
    <t>Nabati</t>
  </si>
  <si>
    <t>Hewani</t>
  </si>
  <si>
    <t xml:space="preserve">Pola Pangan Harapan (PPH) Tingkat Ketersediaan </t>
  </si>
  <si>
    <t xml:space="preserve">Berdasarkan Neraca Bahan Makanan Nasional </t>
  </si>
  <si>
    <t xml:space="preserve">PERKEMBANGAN KETERSEDIAAN </t>
  </si>
  <si>
    <t>ENERGI, PROTEIN DAN LEMAK PER KAPITA PER HARI</t>
  </si>
  <si>
    <t>Kelompok Bahan Pangan</t>
  </si>
  <si>
    <t>Energi (Kalori/Hari)</t>
  </si>
  <si>
    <t>Protein (Gram/Hari)</t>
  </si>
  <si>
    <t>Lemak (Gram/Hari)</t>
  </si>
  <si>
    <t>(1)</t>
  </si>
  <si>
    <t>(2)</t>
  </si>
  <si>
    <t>(3)</t>
  </si>
  <si>
    <t>(4)</t>
  </si>
  <si>
    <t>Padi-padian</t>
  </si>
  <si>
    <t>Makanan berpati</t>
  </si>
  <si>
    <t>Gula</t>
  </si>
  <si>
    <t>Buah biji berminyak</t>
  </si>
  <si>
    <t>Buah-buahan</t>
  </si>
  <si>
    <t>Sayur-sayuran</t>
  </si>
  <si>
    <t>Daging</t>
  </si>
  <si>
    <t>Telur</t>
  </si>
  <si>
    <t>Susu</t>
  </si>
  <si>
    <t>Ikan</t>
  </si>
  <si>
    <t>Minyak dan Lemak</t>
  </si>
  <si>
    <t>No.</t>
  </si>
  <si>
    <t xml:space="preserve">Kelompok </t>
  </si>
  <si>
    <t>Energi</t>
  </si>
  <si>
    <t>% AKE</t>
  </si>
  <si>
    <t>Bobot</t>
  </si>
  <si>
    <t>Skor riil</t>
  </si>
  <si>
    <t>Skor PPH</t>
  </si>
  <si>
    <t>Skor Maks</t>
  </si>
  <si>
    <t>Ket</t>
  </si>
  <si>
    <t>Bahan Pangan</t>
  </si>
  <si>
    <t>(Kalori)</t>
  </si>
  <si>
    <t xml:space="preserve"> 1. </t>
  </si>
  <si>
    <t xml:space="preserve"> 2. </t>
  </si>
  <si>
    <t>Umbi-umbian</t>
  </si>
  <si>
    <t xml:space="preserve"> 3. </t>
  </si>
  <si>
    <t>Pangan Hewani</t>
  </si>
  <si>
    <t xml:space="preserve"> 4. </t>
  </si>
  <si>
    <t>KETERANGAN</t>
  </si>
  <si>
    <t xml:space="preserve"> 5. </t>
  </si>
  <si>
    <t>Buah/biji berminyak</t>
  </si>
  <si>
    <t>"*) Rumput Laut masuk kelompok ikan.</t>
  </si>
  <si>
    <t xml:space="preserve"> 6. </t>
  </si>
  <si>
    <t>Kacang-kacangan</t>
  </si>
  <si>
    <t xml:space="preserve"> 7. </t>
  </si>
  <si>
    <t xml:space="preserve"> 8. </t>
  </si>
  <si>
    <t>Sayuran dan buah</t>
  </si>
  <si>
    <t xml:space="preserve"> 9. </t>
  </si>
  <si>
    <t>Lain-lain</t>
  </si>
  <si>
    <t>Jumlah</t>
  </si>
  <si>
    <t>AKE = 2400 kkal/kap/hari</t>
  </si>
  <si>
    <t>Jumlah Penduduk</t>
  </si>
  <si>
    <t>Angka Konsumsi Penduduk      (Ton)</t>
  </si>
  <si>
    <t xml:space="preserve">Angka Ketersediaan Bahan Makanan (Ton) </t>
  </si>
  <si>
    <t>Selisih Ketersediaan - Konsumsi              (Ton)</t>
  </si>
  <si>
    <t>Rekomendasi</t>
  </si>
  <si>
    <t>ESTIMASI</t>
  </si>
  <si>
    <t>IMPOR</t>
  </si>
  <si>
    <t>EKSPOR</t>
  </si>
  <si>
    <r>
      <t xml:space="preserve">Pemakaian Dalam Negeri / </t>
    </r>
    <r>
      <rPr>
        <i/>
        <sz val="8"/>
        <rFont val="Times New Roman"/>
        <family val="1"/>
      </rPr>
      <t>Domestic utilization</t>
    </r>
  </si>
  <si>
    <t>Luas Tanam</t>
  </si>
  <si>
    <t>Food Processed</t>
  </si>
  <si>
    <t>Umbi-umbian lainnya (Talas, Yam, Labu Parang dan butternut dll)</t>
  </si>
  <si>
    <r>
      <t>Gandum/</t>
    </r>
    <r>
      <rPr>
        <b/>
        <i/>
        <sz val="8"/>
        <rFont val="Times New Roman"/>
        <family val="1"/>
      </rPr>
      <t>Wheat</t>
    </r>
  </si>
  <si>
    <r>
      <t>Ubi jalar/</t>
    </r>
    <r>
      <rPr>
        <b/>
        <i/>
        <sz val="8"/>
        <rFont val="Times New Roman"/>
        <family val="1"/>
      </rPr>
      <t>Sweet potatoes</t>
    </r>
  </si>
  <si>
    <r>
      <t>Ubi kayu/</t>
    </r>
    <r>
      <rPr>
        <b/>
        <i/>
        <sz val="8"/>
        <rFont val="Times New Roman"/>
        <family val="1"/>
      </rPr>
      <t>Cassava</t>
    </r>
  </si>
  <si>
    <t>Sagu</t>
  </si>
  <si>
    <r>
      <t>Kedelai/</t>
    </r>
    <r>
      <rPr>
        <b/>
        <i/>
        <sz val="8"/>
        <rFont val="Times New Roman"/>
        <family val="1"/>
      </rPr>
      <t>Soyabeans</t>
    </r>
  </si>
  <si>
    <r>
      <t>Kacang hijau/</t>
    </r>
    <r>
      <rPr>
        <b/>
        <i/>
        <sz val="8"/>
        <rFont val="Times New Roman"/>
        <family val="1"/>
      </rPr>
      <t>Mungbean</t>
    </r>
  </si>
  <si>
    <r>
      <t>Gula merah/</t>
    </r>
    <r>
      <rPr>
        <b/>
        <i/>
        <sz val="8"/>
        <rFont val="Times New Roman"/>
        <family val="1"/>
      </rPr>
      <t>Brown sugar</t>
    </r>
  </si>
  <si>
    <t>Karkas ke Daging</t>
  </si>
  <si>
    <t>Persentase Jeroan terhadap karkas</t>
  </si>
  <si>
    <t>Persentase lemak terhadap karkas</t>
  </si>
  <si>
    <t>Tepung Gandum ke Gandum</t>
  </si>
  <si>
    <t>Derajat Ekstraksi/ Konversi</t>
  </si>
  <si>
    <r>
      <t>Gaplek/</t>
    </r>
    <r>
      <rPr>
        <i/>
        <sz val="8"/>
        <rFont val="Times New Roman"/>
        <family val="1"/>
      </rPr>
      <t>Manioc</t>
    </r>
  </si>
  <si>
    <r>
      <t>Tapioka/</t>
    </r>
    <r>
      <rPr>
        <i/>
        <sz val="8"/>
        <rFont val="Times New Roman"/>
        <family val="1"/>
      </rPr>
      <t>Tapioca</t>
    </r>
  </si>
  <si>
    <r>
      <t>Tepung sagu/</t>
    </r>
    <r>
      <rPr>
        <i/>
        <sz val="8"/>
        <rFont val="Times New Roman"/>
        <family val="1"/>
      </rPr>
      <t>Sago pith/Sago flour</t>
    </r>
  </si>
  <si>
    <r>
      <t>Gula pasir/</t>
    </r>
    <r>
      <rPr>
        <b/>
        <i/>
        <sz val="8"/>
        <rFont val="Times New Roman"/>
        <family val="1"/>
      </rPr>
      <t>White sugar</t>
    </r>
  </si>
  <si>
    <t>Konversi Daging ke Karkas</t>
  </si>
  <si>
    <t>Daging (Ton)</t>
  </si>
  <si>
    <t>Karkas (Ton)</t>
  </si>
  <si>
    <t>Gaplek ke Ubi Kayu</t>
  </si>
  <si>
    <t>Tapioka ke Ubi Kayu</t>
  </si>
  <si>
    <r>
      <t xml:space="preserve">Beras/ </t>
    </r>
    <r>
      <rPr>
        <b/>
        <i/>
        <sz val="8"/>
        <rFont val="Times New Roman"/>
        <family val="1"/>
      </rPr>
      <t>Rice</t>
    </r>
  </si>
  <si>
    <t>Produksi Komoditas Primer</t>
  </si>
  <si>
    <r>
      <t>Ubi Kayu/</t>
    </r>
    <r>
      <rPr>
        <i/>
        <sz val="8"/>
        <color theme="1"/>
        <rFont val="Times New Roman"/>
        <family val="1"/>
      </rPr>
      <t>Cassava</t>
    </r>
  </si>
  <si>
    <r>
      <rPr>
        <sz val="8"/>
        <rFont val="Times New Roman"/>
        <family val="1"/>
      </rPr>
      <t xml:space="preserve">Gandum/ </t>
    </r>
    <r>
      <rPr>
        <i/>
        <sz val="8"/>
        <rFont val="Times New Roman"/>
        <family val="1"/>
      </rPr>
      <t>Whole wheat</t>
    </r>
  </si>
  <si>
    <r>
      <t>Jagung basah/</t>
    </r>
    <r>
      <rPr>
        <b/>
        <i/>
        <sz val="8"/>
        <rFont val="Times New Roman"/>
        <family val="1"/>
      </rPr>
      <t xml:space="preserve"> Fresh Maize</t>
    </r>
  </si>
  <si>
    <r>
      <t>Sagu/</t>
    </r>
    <r>
      <rPr>
        <i/>
        <sz val="8"/>
        <rFont val="Times New Roman"/>
        <family val="1"/>
      </rPr>
      <t>Sago</t>
    </r>
  </si>
  <si>
    <r>
      <t xml:space="preserve">I. PADI-PADIAN/ </t>
    </r>
    <r>
      <rPr>
        <b/>
        <i/>
        <sz val="8"/>
        <rFont val="Times New Roman"/>
        <family val="1"/>
      </rPr>
      <t>CEREALS</t>
    </r>
  </si>
  <si>
    <r>
      <t xml:space="preserve">Jagung/ </t>
    </r>
    <r>
      <rPr>
        <b/>
        <i/>
        <sz val="8"/>
        <rFont val="Times New Roman"/>
        <family val="1"/>
      </rPr>
      <t>Maize</t>
    </r>
  </si>
  <si>
    <r>
      <t xml:space="preserve">Gula Rafinasi/ Gula Industri/ </t>
    </r>
    <r>
      <rPr>
        <i/>
        <sz val="8"/>
        <rFont val="Times New Roman"/>
        <family val="1"/>
      </rPr>
      <t>Rafinated Sugar</t>
    </r>
  </si>
  <si>
    <r>
      <t xml:space="preserve">Gula Kristal Putih/ Gula Konsumsi/ </t>
    </r>
    <r>
      <rPr>
        <i/>
        <sz val="8"/>
        <color theme="1"/>
        <rFont val="Times New Roman"/>
        <family val="1"/>
      </rPr>
      <t>White Sugar</t>
    </r>
  </si>
  <si>
    <r>
      <t>Alpokat/</t>
    </r>
    <r>
      <rPr>
        <b/>
        <i/>
        <sz val="8"/>
        <rFont val="Times New Roman"/>
        <family val="1"/>
      </rPr>
      <t>Avocados</t>
    </r>
  </si>
  <si>
    <r>
      <t>Jeruk/</t>
    </r>
    <r>
      <rPr>
        <b/>
        <i/>
        <sz val="8"/>
        <rFont val="Times New Roman"/>
        <family val="1"/>
      </rPr>
      <t>Oranges</t>
    </r>
  </si>
  <si>
    <r>
      <t>Duku/</t>
    </r>
    <r>
      <rPr>
        <b/>
        <i/>
        <sz val="8"/>
        <rFont val="Times New Roman"/>
        <family val="1"/>
      </rPr>
      <t>Lanzon</t>
    </r>
  </si>
  <si>
    <r>
      <t>Durian/</t>
    </r>
    <r>
      <rPr>
        <b/>
        <i/>
        <sz val="8"/>
        <rFont val="Times New Roman"/>
        <family val="1"/>
      </rPr>
      <t>Durians</t>
    </r>
  </si>
  <si>
    <r>
      <t>Jambu/</t>
    </r>
    <r>
      <rPr>
        <b/>
        <i/>
        <sz val="8"/>
        <rFont val="Times New Roman"/>
        <family val="1"/>
      </rPr>
      <t>Waterapples</t>
    </r>
  </si>
  <si>
    <r>
      <t>Jambu Air /</t>
    </r>
    <r>
      <rPr>
        <b/>
        <i/>
        <sz val="8"/>
        <rFont val="Times New Roman"/>
        <family val="1"/>
      </rPr>
      <t>Rose apple</t>
    </r>
  </si>
  <si>
    <r>
      <t>Mangga/</t>
    </r>
    <r>
      <rPr>
        <b/>
        <i/>
        <sz val="8"/>
        <rFont val="Times New Roman"/>
        <family val="1"/>
      </rPr>
      <t>Mangoes</t>
    </r>
  </si>
  <si>
    <r>
      <t>Nanas/</t>
    </r>
    <r>
      <rPr>
        <b/>
        <i/>
        <sz val="8"/>
        <rFont val="Times New Roman"/>
        <family val="1"/>
      </rPr>
      <t>Pineapples</t>
    </r>
  </si>
  <si>
    <r>
      <t>Pepaya/</t>
    </r>
    <r>
      <rPr>
        <b/>
        <i/>
        <sz val="8"/>
        <rFont val="Times New Roman"/>
        <family val="1"/>
      </rPr>
      <t>Papayas</t>
    </r>
  </si>
  <si>
    <r>
      <t>Pisang/</t>
    </r>
    <r>
      <rPr>
        <b/>
        <i/>
        <sz val="8"/>
        <rFont val="Times New Roman"/>
        <family val="1"/>
      </rPr>
      <t>Bananas</t>
    </r>
  </si>
  <si>
    <r>
      <t>Rambutan/</t>
    </r>
    <r>
      <rPr>
        <b/>
        <i/>
        <sz val="8"/>
        <rFont val="Times New Roman"/>
        <family val="1"/>
      </rPr>
      <t>Rambutans</t>
    </r>
  </si>
  <si>
    <r>
      <t>Salak/</t>
    </r>
    <r>
      <rPr>
        <b/>
        <i/>
        <sz val="8"/>
        <rFont val="Times New Roman"/>
        <family val="1"/>
      </rPr>
      <t>Salacia</t>
    </r>
  </si>
  <si>
    <r>
      <t>Sawo/</t>
    </r>
    <r>
      <rPr>
        <b/>
        <i/>
        <sz val="8"/>
        <rFont val="Times New Roman"/>
        <family val="1"/>
      </rPr>
      <t>Sapodila</t>
    </r>
  </si>
  <si>
    <r>
      <t>Semangka/</t>
    </r>
    <r>
      <rPr>
        <b/>
        <i/>
        <sz val="8"/>
        <rFont val="Times New Roman"/>
        <family val="1"/>
      </rPr>
      <t>Watermelon</t>
    </r>
  </si>
  <si>
    <r>
      <t>Belimbing/</t>
    </r>
    <r>
      <rPr>
        <b/>
        <i/>
        <sz val="8"/>
        <rFont val="Times New Roman"/>
        <family val="1"/>
      </rPr>
      <t xml:space="preserve"> Star Fruit</t>
    </r>
  </si>
  <si>
    <r>
      <t xml:space="preserve">Manggis/ </t>
    </r>
    <r>
      <rPr>
        <b/>
        <i/>
        <sz val="8"/>
        <rFont val="Times New Roman"/>
        <family val="1"/>
      </rPr>
      <t>Mangosteen</t>
    </r>
  </si>
  <si>
    <r>
      <t xml:space="preserve">Nangka/Cempedak/ </t>
    </r>
    <r>
      <rPr>
        <b/>
        <i/>
        <sz val="8"/>
        <rFont val="Times New Roman"/>
        <family val="1"/>
      </rPr>
      <t>Jackfruit</t>
    </r>
  </si>
  <si>
    <r>
      <t xml:space="preserve">Markisa/ </t>
    </r>
    <r>
      <rPr>
        <b/>
        <i/>
        <sz val="8"/>
        <rFont val="Times New Roman"/>
        <family val="1"/>
      </rPr>
      <t>Marquisa</t>
    </r>
  </si>
  <si>
    <r>
      <t xml:space="preserve">Sirsak/ </t>
    </r>
    <r>
      <rPr>
        <b/>
        <i/>
        <sz val="8"/>
        <rFont val="Times New Roman"/>
        <family val="1"/>
      </rPr>
      <t>Soursop</t>
    </r>
  </si>
  <si>
    <r>
      <t xml:space="preserve">Sukun/ </t>
    </r>
    <r>
      <rPr>
        <b/>
        <i/>
        <sz val="8"/>
        <rFont val="Times New Roman"/>
        <family val="1"/>
      </rPr>
      <t>Bread Fruit</t>
    </r>
  </si>
  <si>
    <r>
      <t xml:space="preserve">Apel/ </t>
    </r>
    <r>
      <rPr>
        <b/>
        <i/>
        <sz val="8"/>
        <rFont val="Times New Roman"/>
        <family val="1"/>
      </rPr>
      <t>Apple</t>
    </r>
  </si>
  <si>
    <r>
      <t xml:space="preserve">Anggur/ </t>
    </r>
    <r>
      <rPr>
        <b/>
        <i/>
        <sz val="8"/>
        <rFont val="Times New Roman"/>
        <family val="1"/>
      </rPr>
      <t>Grape</t>
    </r>
  </si>
  <si>
    <r>
      <t>Strobery/</t>
    </r>
    <r>
      <rPr>
        <b/>
        <i/>
        <sz val="8"/>
        <rFont val="Times New Roman"/>
        <family val="1"/>
      </rPr>
      <t>Strawberry</t>
    </r>
  </si>
  <si>
    <r>
      <t>Blewah/</t>
    </r>
    <r>
      <rPr>
        <b/>
        <i/>
        <sz val="8"/>
        <rFont val="Times New Roman"/>
        <family val="1"/>
      </rPr>
      <t>Cantalaupe</t>
    </r>
  </si>
  <si>
    <r>
      <t>Buah Ara (Buah Tin)/</t>
    </r>
    <r>
      <rPr>
        <b/>
        <i/>
        <sz val="8"/>
        <rFont val="Times New Roman"/>
        <family val="1"/>
      </rPr>
      <t>Fig</t>
    </r>
  </si>
  <si>
    <r>
      <t>Susu hewani lainnya/</t>
    </r>
    <r>
      <rPr>
        <i/>
        <sz val="8"/>
        <rFont val="Times New Roman"/>
        <family val="1"/>
      </rPr>
      <t>Other animal milk</t>
    </r>
  </si>
  <si>
    <r>
      <t>Kelapa daging/</t>
    </r>
    <r>
      <rPr>
        <i/>
        <sz val="8"/>
        <color theme="1"/>
        <rFont val="Times New Roman"/>
        <family val="1"/>
      </rPr>
      <t xml:space="preserve"> Fresh coconut</t>
    </r>
  </si>
  <si>
    <r>
      <t xml:space="preserve">Kopra/ </t>
    </r>
    <r>
      <rPr>
        <i/>
        <sz val="8"/>
        <rFont val="Times New Roman"/>
        <family val="1"/>
      </rPr>
      <t>Copra</t>
    </r>
  </si>
  <si>
    <r>
      <t>Kelapa/</t>
    </r>
    <r>
      <rPr>
        <b/>
        <i/>
        <sz val="8"/>
        <rFont val="Times New Roman"/>
        <family val="1"/>
      </rPr>
      <t>Coconut</t>
    </r>
  </si>
  <si>
    <r>
      <t>Kacang tanah/</t>
    </r>
    <r>
      <rPr>
        <b/>
        <i/>
        <sz val="8"/>
        <rFont val="Times New Roman"/>
        <family val="1"/>
      </rPr>
      <t>Groundnuts</t>
    </r>
  </si>
  <si>
    <t>Keterangan Konversi/ Derajat Ekstraksi</t>
  </si>
  <si>
    <t>*Papua pemekaran menggunakan konversi papua sebelum pemekaran</t>
  </si>
  <si>
    <t>Kopra ke Minyak goreng kelapa</t>
  </si>
  <si>
    <t>Kacang tanah lepas kulit ke minyak kelapa</t>
  </si>
  <si>
    <t>Jagung ke Minyak Jagung</t>
  </si>
  <si>
    <t>Karkas</t>
  </si>
  <si>
    <t>DATA STOK</t>
  </si>
  <si>
    <t>Pemerintah</t>
  </si>
  <si>
    <t>Swasta</t>
  </si>
  <si>
    <t>Masyarakat</t>
  </si>
  <si>
    <t xml:space="preserve"> Komoditas Primer</t>
  </si>
  <si>
    <t>Kacang tanah berkulit ke kacang tanah lepas kulit</t>
  </si>
  <si>
    <t>Impor/ Pangan Masuk</t>
  </si>
  <si>
    <t>DATA IMPOR/ PANGAN MASUK</t>
  </si>
  <si>
    <t>Kacang tanah lepas kulit ke minyak kacang tanah</t>
  </si>
  <si>
    <t>DATA EKSPOR/ PANGAN KELUAR</t>
  </si>
  <si>
    <t>Ekspor/ Pangan Keluar</t>
  </si>
  <si>
    <t xml:space="preserve">Other Uses </t>
  </si>
  <si>
    <t>Penggunaan Lain (non pangan, food tourist)</t>
  </si>
  <si>
    <r>
      <t xml:space="preserve">Gabah/ </t>
    </r>
    <r>
      <rPr>
        <b/>
        <i/>
        <sz val="8"/>
        <rFont val="Times New Roman"/>
        <family val="1"/>
      </rPr>
      <t>Unhusked rice</t>
    </r>
  </si>
  <si>
    <r>
      <t>Gabah/</t>
    </r>
    <r>
      <rPr>
        <b/>
        <i/>
        <sz val="8"/>
        <rFont val="Times New Roman"/>
        <family val="1"/>
      </rPr>
      <t>Unhusked Rice</t>
    </r>
  </si>
  <si>
    <r>
      <t xml:space="preserve">Bawang Merah/ </t>
    </r>
    <r>
      <rPr>
        <b/>
        <i/>
        <sz val="8"/>
        <rFont val="Times New Roman"/>
        <family val="1"/>
      </rPr>
      <t>Shallot(Onion)</t>
    </r>
  </si>
  <si>
    <r>
      <t>Ketimun/</t>
    </r>
    <r>
      <rPr>
        <b/>
        <i/>
        <sz val="8"/>
        <rFont val="Times New Roman"/>
        <family val="1"/>
      </rPr>
      <t>Cucumber</t>
    </r>
  </si>
  <si>
    <r>
      <t>Kacang Merah/</t>
    </r>
    <r>
      <rPr>
        <b/>
        <i/>
        <sz val="8"/>
        <rFont val="Times New Roman"/>
        <family val="1"/>
      </rPr>
      <t>Kidney beans</t>
    </r>
  </si>
  <si>
    <r>
      <t xml:space="preserve">Kacang Panjang/ </t>
    </r>
    <r>
      <rPr>
        <b/>
        <i/>
        <sz val="8"/>
        <rFont val="Times New Roman"/>
        <family val="1"/>
      </rPr>
      <t>String beans</t>
    </r>
  </si>
  <si>
    <r>
      <t>Kentang/</t>
    </r>
    <r>
      <rPr>
        <b/>
        <i/>
        <sz val="8"/>
        <rFont val="Times New Roman"/>
        <family val="1"/>
      </rPr>
      <t>Potatoes</t>
    </r>
  </si>
  <si>
    <r>
      <t>Kubis/</t>
    </r>
    <r>
      <rPr>
        <b/>
        <i/>
        <sz val="8"/>
        <rFont val="Times New Roman"/>
        <family val="1"/>
      </rPr>
      <t>Cabbage</t>
    </r>
  </si>
  <si>
    <r>
      <t>Tomat/</t>
    </r>
    <r>
      <rPr>
        <b/>
        <i/>
        <sz val="8"/>
        <rFont val="Times New Roman"/>
        <family val="1"/>
      </rPr>
      <t>Tomatoes</t>
    </r>
  </si>
  <si>
    <r>
      <t>Wortel/</t>
    </r>
    <r>
      <rPr>
        <b/>
        <i/>
        <sz val="8"/>
        <rFont val="Times New Roman"/>
        <family val="1"/>
      </rPr>
      <t>Carrots</t>
    </r>
  </si>
  <si>
    <r>
      <t>Cabe Besar/tw/teropong/</t>
    </r>
    <r>
      <rPr>
        <b/>
        <i/>
        <sz val="8"/>
        <rFont val="Times New Roman"/>
        <family val="1"/>
      </rPr>
      <t>Chilli</t>
    </r>
  </si>
  <si>
    <r>
      <t>Terong/</t>
    </r>
    <r>
      <rPr>
        <b/>
        <i/>
        <sz val="8"/>
        <rFont val="Times New Roman"/>
        <family val="1"/>
      </rPr>
      <t>Eggplant</t>
    </r>
  </si>
  <si>
    <r>
      <t xml:space="preserve">Petsai/ Sawi/ </t>
    </r>
    <r>
      <rPr>
        <b/>
        <i/>
        <sz val="8"/>
        <rFont val="Times New Roman"/>
        <family val="1"/>
      </rPr>
      <t>Mustard greens</t>
    </r>
  </si>
  <si>
    <r>
      <t>Kangkung/</t>
    </r>
    <r>
      <rPr>
        <b/>
        <i/>
        <sz val="8"/>
        <rFont val="Times New Roman"/>
        <family val="1"/>
      </rPr>
      <t>Swamp cabbage</t>
    </r>
  </si>
  <si>
    <r>
      <t>Lobak/</t>
    </r>
    <r>
      <rPr>
        <b/>
        <i/>
        <sz val="8"/>
        <rFont val="Times New Roman"/>
        <family val="1"/>
      </rPr>
      <t>Radish</t>
    </r>
  </si>
  <si>
    <r>
      <t>Labu siam/</t>
    </r>
    <r>
      <rPr>
        <b/>
        <i/>
        <sz val="8"/>
        <rFont val="Times New Roman"/>
        <family val="1"/>
      </rPr>
      <t>Chayotte</t>
    </r>
  </si>
  <si>
    <r>
      <t>Buncis/</t>
    </r>
    <r>
      <rPr>
        <b/>
        <i/>
        <sz val="8"/>
        <rFont val="Times New Roman"/>
        <family val="1"/>
      </rPr>
      <t>Greenbeans</t>
    </r>
  </si>
  <si>
    <r>
      <t>Bayam/</t>
    </r>
    <r>
      <rPr>
        <b/>
        <i/>
        <sz val="8"/>
        <rFont val="Times New Roman"/>
        <family val="1"/>
      </rPr>
      <t>Spinach</t>
    </r>
  </si>
  <si>
    <r>
      <t>Bawang Putih/</t>
    </r>
    <r>
      <rPr>
        <b/>
        <i/>
        <sz val="8"/>
        <rFont val="Times New Roman"/>
        <family val="1"/>
      </rPr>
      <t>Garlic</t>
    </r>
  </si>
  <si>
    <r>
      <t xml:space="preserve">Kembang Kol/ </t>
    </r>
    <r>
      <rPr>
        <b/>
        <i/>
        <sz val="8"/>
        <rFont val="Times New Roman"/>
        <family val="1"/>
      </rPr>
      <t>Cauliflowe</t>
    </r>
    <r>
      <rPr>
        <b/>
        <sz val="8"/>
        <rFont val="Times New Roman"/>
        <family val="1"/>
      </rPr>
      <t>r</t>
    </r>
  </si>
  <si>
    <r>
      <t xml:space="preserve">Jamur Tiram/ </t>
    </r>
    <r>
      <rPr>
        <b/>
        <i/>
        <sz val="8"/>
        <rFont val="Times New Roman"/>
        <family val="1"/>
      </rPr>
      <t>Mushroom</t>
    </r>
  </si>
  <si>
    <r>
      <t xml:space="preserve">Melinjo/ </t>
    </r>
    <r>
      <rPr>
        <b/>
        <i/>
        <sz val="8"/>
        <rFont val="Times New Roman"/>
        <family val="1"/>
      </rPr>
      <t>Melinjo</t>
    </r>
  </si>
  <si>
    <r>
      <t xml:space="preserve">Petai/ </t>
    </r>
    <r>
      <rPr>
        <b/>
        <i/>
        <sz val="8"/>
        <rFont val="Times New Roman"/>
        <family val="1"/>
      </rPr>
      <t>Twisted Cluster Bean</t>
    </r>
  </si>
  <si>
    <r>
      <t xml:space="preserve">Jengkol/ </t>
    </r>
    <r>
      <rPr>
        <b/>
        <i/>
        <sz val="8"/>
        <rFont val="Times New Roman"/>
        <family val="1"/>
      </rPr>
      <t>Jengkol</t>
    </r>
  </si>
  <si>
    <r>
      <t xml:space="preserve">Paprika/ </t>
    </r>
    <r>
      <rPr>
        <b/>
        <i/>
        <sz val="8"/>
        <rFont val="Times New Roman"/>
        <family val="1"/>
      </rPr>
      <t>Sweet Pepper</t>
    </r>
  </si>
  <si>
    <r>
      <t>Daging Sapi/</t>
    </r>
    <r>
      <rPr>
        <b/>
        <i/>
        <sz val="8"/>
        <rFont val="Times New Roman"/>
        <family val="1"/>
      </rPr>
      <t>Beef</t>
    </r>
  </si>
  <si>
    <r>
      <t>Daging Kerbau/</t>
    </r>
    <r>
      <rPr>
        <b/>
        <i/>
        <sz val="8"/>
        <rFont val="Times New Roman"/>
        <family val="1"/>
      </rPr>
      <t>Buffalo Meat</t>
    </r>
  </si>
  <si>
    <r>
      <t>Daging Kambing/</t>
    </r>
    <r>
      <rPr>
        <b/>
        <i/>
        <sz val="8"/>
        <rFont val="Times New Roman"/>
        <family val="1"/>
      </rPr>
      <t>Mutton</t>
    </r>
  </si>
  <si>
    <r>
      <t>Daging Domba/</t>
    </r>
    <r>
      <rPr>
        <b/>
        <i/>
        <sz val="8"/>
        <rFont val="Times New Roman"/>
        <family val="1"/>
      </rPr>
      <t>Lamb</t>
    </r>
  </si>
  <si>
    <r>
      <t>Daging Kuda/Lainnya/</t>
    </r>
    <r>
      <rPr>
        <b/>
        <i/>
        <sz val="8"/>
        <rFont val="Times New Roman"/>
        <family val="1"/>
      </rPr>
      <t>Horse Meat/Other</t>
    </r>
  </si>
  <si>
    <r>
      <t>Daging Babi/</t>
    </r>
    <r>
      <rPr>
        <b/>
        <i/>
        <sz val="8"/>
        <rFont val="Times New Roman"/>
        <family val="1"/>
      </rPr>
      <t>Pork</t>
    </r>
  </si>
  <si>
    <r>
      <t>Daging Ayam Buras/</t>
    </r>
    <r>
      <rPr>
        <b/>
        <i/>
        <sz val="8"/>
        <rFont val="Times New Roman"/>
        <family val="1"/>
      </rPr>
      <t>Lokal Chicken Meat</t>
    </r>
  </si>
  <si>
    <r>
      <t>Daging Itik/</t>
    </r>
    <r>
      <rPr>
        <b/>
        <i/>
        <sz val="8"/>
        <rFont val="Times New Roman"/>
        <family val="1"/>
      </rPr>
      <t>Duck Meat</t>
    </r>
  </si>
  <si>
    <r>
      <t>Daging Puyuh/</t>
    </r>
    <r>
      <rPr>
        <b/>
        <i/>
        <sz val="8"/>
        <rFont val="Times New Roman"/>
        <family val="1"/>
      </rPr>
      <t>Quail Meat</t>
    </r>
  </si>
  <si>
    <r>
      <t>Jeroan semua jenis/</t>
    </r>
    <r>
      <rPr>
        <b/>
        <i/>
        <sz val="8"/>
        <rFont val="Times New Roman"/>
        <family val="1"/>
      </rPr>
      <t>Offal All Kinds</t>
    </r>
  </si>
  <si>
    <r>
      <t>Telur Ayam Buras/</t>
    </r>
    <r>
      <rPr>
        <b/>
        <i/>
        <sz val="8"/>
        <rFont val="Times New Roman"/>
        <family val="1"/>
      </rPr>
      <t xml:space="preserve"> Local Hen Eggs</t>
    </r>
  </si>
  <si>
    <r>
      <t>Telur Ayam Ras/</t>
    </r>
    <r>
      <rPr>
        <b/>
        <i/>
        <sz val="8"/>
        <rFont val="Times New Roman"/>
        <family val="1"/>
      </rPr>
      <t xml:space="preserve"> Layer Eggs</t>
    </r>
  </si>
  <si>
    <r>
      <t>Telur Itik/</t>
    </r>
    <r>
      <rPr>
        <b/>
        <i/>
        <sz val="8"/>
        <rFont val="Times New Roman"/>
        <family val="1"/>
      </rPr>
      <t>Ducks Eggs</t>
    </r>
  </si>
  <si>
    <r>
      <t>Telur Puyuh/</t>
    </r>
    <r>
      <rPr>
        <b/>
        <i/>
        <sz val="8"/>
        <rFont val="Times New Roman"/>
        <family val="1"/>
      </rPr>
      <t>Quail Eggs</t>
    </r>
  </si>
  <si>
    <r>
      <t>Susu Sapi/</t>
    </r>
    <r>
      <rPr>
        <b/>
        <i/>
        <sz val="8"/>
        <rFont val="Times New Roman"/>
        <family val="1"/>
      </rPr>
      <t>Cow Milk</t>
    </r>
  </si>
  <si>
    <r>
      <t>Susu hewani lainnya/</t>
    </r>
    <r>
      <rPr>
        <b/>
        <i/>
        <sz val="8"/>
        <rFont val="Times New Roman"/>
        <family val="1"/>
      </rPr>
      <t>Other animal milk</t>
    </r>
  </si>
  <si>
    <r>
      <t>Tuna/Cakalang/Tongkol/</t>
    </r>
    <r>
      <rPr>
        <b/>
        <i/>
        <sz val="8"/>
        <rFont val="Times New Roman"/>
        <family val="1"/>
      </rPr>
      <t xml:space="preserve"> Tunas/Skipjack</t>
    </r>
  </si>
  <si>
    <r>
      <t>Kakap/</t>
    </r>
    <r>
      <rPr>
        <b/>
        <i/>
        <sz val="8"/>
        <rFont val="Times New Roman"/>
        <family val="1"/>
      </rPr>
      <t>Giant Seaperch</t>
    </r>
  </si>
  <si>
    <r>
      <t>Cucut/</t>
    </r>
    <r>
      <rPr>
        <b/>
        <i/>
        <sz val="8"/>
        <rFont val="Times New Roman"/>
        <family val="1"/>
      </rPr>
      <t>Sharks</t>
    </r>
  </si>
  <si>
    <r>
      <t>Bawal/</t>
    </r>
    <r>
      <rPr>
        <b/>
        <i/>
        <sz val="8"/>
        <rFont val="Times New Roman"/>
        <family val="1"/>
      </rPr>
      <t>Pomfret</t>
    </r>
  </si>
  <si>
    <r>
      <t>Teri/</t>
    </r>
    <r>
      <rPr>
        <b/>
        <i/>
        <sz val="8"/>
        <rFont val="Times New Roman"/>
        <family val="1"/>
      </rPr>
      <t>Anchovies</t>
    </r>
  </si>
  <si>
    <r>
      <t>Lemuru/</t>
    </r>
    <r>
      <rPr>
        <b/>
        <i/>
        <sz val="8"/>
        <rFont val="Times New Roman"/>
        <family val="1"/>
      </rPr>
      <t>Indian Oil Sardinella</t>
    </r>
  </si>
  <si>
    <r>
      <t>Kembung/</t>
    </r>
    <r>
      <rPr>
        <b/>
        <i/>
        <sz val="8"/>
        <rFont val="Times New Roman"/>
        <family val="1"/>
      </rPr>
      <t>Indian Mackerels</t>
    </r>
  </si>
  <si>
    <r>
      <t>Tenggiri/</t>
    </r>
    <r>
      <rPr>
        <b/>
        <i/>
        <sz val="8"/>
        <rFont val="Times New Roman"/>
        <family val="1"/>
      </rPr>
      <t>Narrow Bard /King Mackerels</t>
    </r>
  </si>
  <si>
    <r>
      <t>Bandeng/</t>
    </r>
    <r>
      <rPr>
        <b/>
        <i/>
        <sz val="8"/>
        <rFont val="Times New Roman"/>
        <family val="1"/>
      </rPr>
      <t>Milk Fish</t>
    </r>
  </si>
  <si>
    <r>
      <t>Belanak/</t>
    </r>
    <r>
      <rPr>
        <b/>
        <i/>
        <sz val="8"/>
        <rFont val="Times New Roman"/>
        <family val="1"/>
      </rPr>
      <t>Mullets</t>
    </r>
  </si>
  <si>
    <r>
      <t>Mujair/</t>
    </r>
    <r>
      <rPr>
        <b/>
        <i/>
        <sz val="8"/>
        <rFont val="Times New Roman"/>
        <family val="1"/>
      </rPr>
      <t>Mozambique Tilapia</t>
    </r>
  </si>
  <si>
    <r>
      <t>Ikan Mas/</t>
    </r>
    <r>
      <rPr>
        <b/>
        <i/>
        <sz val="8"/>
        <rFont val="Times New Roman"/>
        <family val="1"/>
      </rPr>
      <t>Common Carp</t>
    </r>
  </si>
  <si>
    <r>
      <t>Lele/</t>
    </r>
    <r>
      <rPr>
        <b/>
        <i/>
        <sz val="8"/>
        <rFont val="Times New Roman"/>
        <family val="1"/>
      </rPr>
      <t>Catfish</t>
    </r>
  </si>
  <si>
    <r>
      <t>Patin/</t>
    </r>
    <r>
      <rPr>
        <b/>
        <i/>
        <sz val="8"/>
        <rFont val="Times New Roman"/>
        <family val="1"/>
      </rPr>
      <t>Pangasius spp</t>
    </r>
  </si>
  <si>
    <r>
      <t>Nila/</t>
    </r>
    <r>
      <rPr>
        <b/>
        <i/>
        <sz val="8"/>
        <rFont val="Times New Roman"/>
        <family val="1"/>
      </rPr>
      <t>Nile tilapia</t>
    </r>
  </si>
  <si>
    <r>
      <t>Kerapu/</t>
    </r>
    <r>
      <rPr>
        <b/>
        <i/>
        <sz val="8"/>
        <rFont val="Times New Roman"/>
        <family val="1"/>
      </rPr>
      <t>Groupers</t>
    </r>
  </si>
  <si>
    <r>
      <t>Gurami/</t>
    </r>
    <r>
      <rPr>
        <b/>
        <i/>
        <sz val="8"/>
        <rFont val="Times New Roman"/>
        <family val="1"/>
      </rPr>
      <t>Giant gouramy</t>
    </r>
  </si>
  <si>
    <r>
      <t>Udang/</t>
    </r>
    <r>
      <rPr>
        <b/>
        <i/>
        <sz val="8"/>
        <rFont val="Times New Roman"/>
        <family val="1"/>
      </rPr>
      <t>Shrimps</t>
    </r>
  </si>
  <si>
    <r>
      <t>Rajungan dan Kepiting/</t>
    </r>
    <r>
      <rPr>
        <b/>
        <i/>
        <sz val="8"/>
        <rFont val="Times New Roman"/>
        <family val="1"/>
      </rPr>
      <t>Swimming and mud crab</t>
    </r>
  </si>
  <si>
    <r>
      <t xml:space="preserve">Kekerangan / </t>
    </r>
    <r>
      <rPr>
        <b/>
        <i/>
        <sz val="8"/>
        <rFont val="Times New Roman"/>
        <family val="1"/>
      </rPr>
      <t>Clams</t>
    </r>
  </si>
  <si>
    <r>
      <t>Cumi-cumi, Sotong &amp; Gurita/</t>
    </r>
    <r>
      <rPr>
        <b/>
        <i/>
        <sz val="8"/>
        <rFont val="Times New Roman"/>
        <family val="1"/>
      </rPr>
      <t>Cuttle fish,squids and octopus</t>
    </r>
  </si>
  <si>
    <r>
      <t xml:space="preserve">Rumput laut/ </t>
    </r>
    <r>
      <rPr>
        <b/>
        <i/>
        <sz val="8"/>
        <rFont val="Times New Roman"/>
        <family val="1"/>
      </rPr>
      <t>Sea weeds</t>
    </r>
  </si>
  <si>
    <r>
      <t>Lainnya/</t>
    </r>
    <r>
      <rPr>
        <b/>
        <i/>
        <sz val="8"/>
        <rFont val="Times New Roman"/>
        <family val="1"/>
      </rPr>
      <t>Others</t>
    </r>
  </si>
  <si>
    <r>
      <t>Minyak Kacang tanah/</t>
    </r>
    <r>
      <rPr>
        <b/>
        <i/>
        <sz val="8"/>
        <rFont val="Times New Roman"/>
        <family val="1"/>
      </rPr>
      <t>Peanut Oil</t>
    </r>
  </si>
  <si>
    <r>
      <t>Minyak goreng kelapa/</t>
    </r>
    <r>
      <rPr>
        <b/>
        <i/>
        <sz val="8"/>
        <rFont val="Times New Roman"/>
        <family val="1"/>
      </rPr>
      <t>Coconut oils</t>
    </r>
  </si>
  <si>
    <r>
      <t>Minyak goreng sawit/</t>
    </r>
    <r>
      <rPr>
        <b/>
        <i/>
        <sz val="8"/>
        <rFont val="Times New Roman"/>
        <family val="1"/>
      </rPr>
      <t>Cooking oils</t>
    </r>
  </si>
  <si>
    <r>
      <t>Lemak Sapi/</t>
    </r>
    <r>
      <rPr>
        <b/>
        <i/>
        <sz val="8"/>
        <rFont val="Times New Roman"/>
        <family val="1"/>
      </rPr>
      <t>Cattle Fats</t>
    </r>
  </si>
  <si>
    <r>
      <t>Lemak Kerbau/</t>
    </r>
    <r>
      <rPr>
        <b/>
        <i/>
        <sz val="8"/>
        <rFont val="Times New Roman"/>
        <family val="1"/>
      </rPr>
      <t>Buffalo Fats</t>
    </r>
  </si>
  <si>
    <r>
      <t>Lemak Kambing/</t>
    </r>
    <r>
      <rPr>
        <b/>
        <i/>
        <sz val="8"/>
        <rFont val="Times New Roman"/>
        <family val="1"/>
      </rPr>
      <t>Goat Fats</t>
    </r>
  </si>
  <si>
    <r>
      <t>Lemak Domba/</t>
    </r>
    <r>
      <rPr>
        <b/>
        <i/>
        <sz val="8"/>
        <rFont val="Times New Roman"/>
        <family val="1"/>
      </rPr>
      <t>Sheep Fats</t>
    </r>
  </si>
  <si>
    <r>
      <t>Lemak Babi/</t>
    </r>
    <r>
      <rPr>
        <b/>
        <i/>
        <sz val="8"/>
        <rFont val="Times New Roman"/>
        <family val="1"/>
      </rPr>
      <t>Pig Fats</t>
    </r>
  </si>
  <si>
    <t>Sumber</t>
  </si>
  <si>
    <t>Losses</t>
  </si>
  <si>
    <r>
      <t xml:space="preserve">Beras/ </t>
    </r>
    <r>
      <rPr>
        <i/>
        <sz val="8"/>
        <rFont val="Times New Roman"/>
        <family val="1"/>
      </rPr>
      <t>Rice</t>
    </r>
  </si>
  <si>
    <r>
      <t>Gula merah/</t>
    </r>
    <r>
      <rPr>
        <i/>
        <sz val="8"/>
        <rFont val="Times New Roman"/>
        <family val="1"/>
      </rPr>
      <t>Brown sugar</t>
    </r>
  </si>
  <si>
    <t>Kopra ke kelapa daging</t>
  </si>
  <si>
    <r>
      <t>Jagung basah/</t>
    </r>
    <r>
      <rPr>
        <i/>
        <sz val="8"/>
        <rFont val="Times New Roman"/>
        <family val="1"/>
      </rPr>
      <t xml:space="preserve"> Fresh Maize</t>
    </r>
  </si>
  <si>
    <r>
      <t>Gula pasir/</t>
    </r>
    <r>
      <rPr>
        <i/>
        <sz val="8"/>
        <rFont val="Times New Roman"/>
        <family val="1"/>
      </rPr>
      <t>White sugar</t>
    </r>
  </si>
  <si>
    <t>Produksi Rogol</t>
  </si>
  <si>
    <t xml:space="preserve"> Produksi Rogol</t>
  </si>
  <si>
    <r>
      <t xml:space="preserve">Jagung/ </t>
    </r>
    <r>
      <rPr>
        <i/>
        <sz val="8"/>
        <rFont val="Times New Roman"/>
        <family val="1"/>
      </rPr>
      <t>Maize</t>
    </r>
  </si>
  <si>
    <r>
      <t>Kacang tanah/</t>
    </r>
    <r>
      <rPr>
        <i/>
        <sz val="8"/>
        <rFont val="Times New Roman"/>
        <family val="1"/>
      </rPr>
      <t>Groundnuts</t>
    </r>
  </si>
  <si>
    <r>
      <t>Kelapa/</t>
    </r>
    <r>
      <rPr>
        <i/>
        <sz val="8"/>
        <rFont val="Times New Roman"/>
        <family val="1"/>
      </rPr>
      <t>Coconut</t>
    </r>
  </si>
  <si>
    <t>TKPI 2020</t>
  </si>
  <si>
    <t>TKPI 2020 (talas)</t>
  </si>
  <si>
    <t>72.67</t>
  </si>
  <si>
    <t>47.67</t>
  </si>
  <si>
    <t>0.48</t>
  </si>
  <si>
    <t>0.43</t>
  </si>
  <si>
    <t>80.25</t>
  </si>
  <si>
    <t>55.75</t>
  </si>
  <si>
    <t>0.35</t>
  </si>
  <si>
    <t>74.57</t>
  </si>
  <si>
    <t>112.24</t>
  </si>
  <si>
    <t>1.18</t>
  </si>
  <si>
    <t>0.33</t>
  </si>
  <si>
    <t>75.33</t>
  </si>
  <si>
    <t>89.00</t>
  </si>
  <si>
    <t>0.80</t>
  </si>
  <si>
    <t>2.17</t>
  </si>
  <si>
    <t>122.50</t>
  </si>
  <si>
    <t>1.50</t>
  </si>
  <si>
    <t>0.20</t>
  </si>
  <si>
    <t>57.50</t>
  </si>
  <si>
    <t>0.40</t>
  </si>
  <si>
    <t>11.35</t>
  </si>
  <si>
    <t>Warna Orange perlu diisi dengan luas tanam, untuk mendapatkan data kebutuhan benih</t>
  </si>
  <si>
    <t>Benih</t>
  </si>
  <si>
    <t xml:space="preserve">*NOTE: </t>
  </si>
  <si>
    <t>Nbm123</t>
  </si>
  <si>
    <t xml:space="preserve"> KA 14%</t>
  </si>
  <si>
    <t>Bawang Putih Segar</t>
  </si>
  <si>
    <t>Bawang Putih Olahan (bubuk)</t>
  </si>
  <si>
    <t>Benih/ Bibit</t>
  </si>
  <si>
    <t>Warna biru sudah otomatis(tidak perlu diisi), sedangkan warna putih perlu diisi menggunakan data rill.</t>
  </si>
  <si>
    <r>
      <t xml:space="preserve">Total Pemakaian Dalam Negeri/ </t>
    </r>
    <r>
      <rPr>
        <i/>
        <sz val="8"/>
        <rFont val="Times New Roman"/>
        <family val="1"/>
      </rPr>
      <t>Domestic Utilization</t>
    </r>
  </si>
  <si>
    <t>Pemakaian Dalam Negeri/ Domestic utilization</t>
  </si>
  <si>
    <t xml:space="preserve">
</t>
  </si>
  <si>
    <t>√</t>
  </si>
  <si>
    <t>Angka Konsumsi</t>
  </si>
  <si>
    <t>Jumlah Penduduk  :</t>
  </si>
  <si>
    <t>Perkiraan produksi berdasarkan angka konsumsi</t>
  </si>
  <si>
    <t>Jagung basah/ Jagung Manis</t>
  </si>
  <si>
    <r>
      <t xml:space="preserve">Gandum Utuh/ </t>
    </r>
    <r>
      <rPr>
        <i/>
        <sz val="8"/>
        <rFont val="Times New Roman"/>
        <family val="1"/>
      </rPr>
      <t>Whole wheat</t>
    </r>
  </si>
  <si>
    <r>
      <t xml:space="preserve">Ubi Kayu Segar/ </t>
    </r>
    <r>
      <rPr>
        <i/>
        <sz val="8"/>
        <color theme="1"/>
        <rFont val="Times New Roman"/>
        <family val="1"/>
      </rPr>
      <t>Fresh</t>
    </r>
    <r>
      <rPr>
        <sz val="8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>Cassava</t>
    </r>
  </si>
  <si>
    <t>KA 14%</t>
  </si>
  <si>
    <t>Jeroan</t>
  </si>
  <si>
    <t>Daun Bawang/Spring onion</t>
  </si>
  <si>
    <r>
      <t>Penyediaan Dalam Negeri/</t>
    </r>
    <r>
      <rPr>
        <i/>
        <sz val="8"/>
        <rFont val="Times New Roman"/>
        <family val="1"/>
      </rPr>
      <t xml:space="preserve"> Domestic Supply</t>
    </r>
  </si>
  <si>
    <r>
      <t>Lemon</t>
    </r>
    <r>
      <rPr>
        <i/>
        <sz val="8"/>
        <rFont val="Times New Roman"/>
        <family val="1"/>
      </rPr>
      <t>/Lemon</t>
    </r>
  </si>
  <si>
    <t>Catatan:</t>
  </si>
  <si>
    <t>1.</t>
  </si>
  <si>
    <t>Perhatikan catatan pengisian pada masing-masing cell</t>
  </si>
  <si>
    <t>Perhatikan warna-warna cell berikut:</t>
  </si>
  <si>
    <t>Wajib diisi</t>
  </si>
  <si>
    <t>Perhatikan angka konversi, apabila bentuk pangan sudah sesuai dengan yang diminta, maka tidak perlu dikonversi (angka konversi diganti dengan angka 1)</t>
  </si>
  <si>
    <t>2.</t>
  </si>
  <si>
    <t>3.</t>
  </si>
  <si>
    <t>Jika terdapat nama komoditas yang sama, isilah pada cell yang terdapat note/catatan. Contoh:</t>
  </si>
  <si>
    <t>Kopra ke Kelapa</t>
  </si>
  <si>
    <t>Tepung sagu ke sagu</t>
  </si>
  <si>
    <t>Kopra ke kelapa</t>
  </si>
  <si>
    <t>Bawang putih bubuk ke bawang putih segar</t>
  </si>
  <si>
    <t xml:space="preserve">Kopra ke kelapa </t>
  </si>
  <si>
    <t xml:space="preserve">Note: Angka pada kolom H (warna biru) perlu di copy value ke Kolom J atau kolom K sesuai dengan rekomendasi. </t>
  </si>
  <si>
    <t xml:space="preserve">Apabila rekomendasi tertulis impor, maka copy value ke kolom J (impor), jika angka masih negatif (-), maka saat copy value ke kolom perlu dihilangkan tanda (-). </t>
  </si>
  <si>
    <t>Apabila rekomendasi tertulis ekspor, maka copy value ke kolom K (eskpor).</t>
  </si>
  <si>
    <t xml:space="preserve">4. </t>
  </si>
  <si>
    <t>Daging Ayam Ras/Broiler Chicken Meat</t>
  </si>
  <si>
    <r>
      <t>Daging Ayam Ras/</t>
    </r>
    <r>
      <rPr>
        <b/>
        <i/>
        <sz val="8"/>
        <rFont val="Times New Roman"/>
        <family val="1"/>
      </rPr>
      <t>Broiler Chicken Meat</t>
    </r>
  </si>
  <si>
    <r>
      <t xml:space="preserve">Daging Ayam Ras/ </t>
    </r>
    <r>
      <rPr>
        <b/>
        <i/>
        <sz val="8"/>
        <rFont val="Times New Roman"/>
        <family val="1"/>
      </rPr>
      <t>Broiler Chicken Meat</t>
    </r>
  </si>
  <si>
    <t>AKP = 63 gr/kap/hari</t>
  </si>
  <si>
    <t>Target Ketersediaan :</t>
  </si>
  <si>
    <t>(WNPG X, 2012)</t>
  </si>
  <si>
    <t>Keterangan:</t>
  </si>
  <si>
    <t>Pola Pangan Harapan (PPH) Tingkat Ketersediaan</t>
  </si>
  <si>
    <t>ZONASI I</t>
  </si>
  <si>
    <t>ZONASI II</t>
  </si>
  <si>
    <t>ZONASI III</t>
  </si>
  <si>
    <t>Berdasarkan Neraca Bahan Makanan</t>
  </si>
  <si>
    <t>(Kalori/Hari)</t>
  </si>
  <si>
    <t>Protein</t>
  </si>
  <si>
    <t>(Gram/Hari)</t>
  </si>
  <si>
    <t>Lemak</t>
  </si>
  <si>
    <r>
      <rPr>
        <b/>
        <sz val="10"/>
        <rFont val="Arial"/>
        <family val="2"/>
      </rPr>
      <t xml:space="preserve">PPH Zonasi I </t>
    </r>
    <r>
      <rPr>
        <sz val="10"/>
        <rFont val="Arial"/>
        <family val="2"/>
      </rPr>
      <t>digunakan untuk wilayah Jawa, Bali, Kalimantan, Sumatera, NTB, NTT, Sulawesi, Gorontalo</t>
    </r>
  </si>
  <si>
    <r>
      <rPr>
        <b/>
        <sz val="10"/>
        <rFont val="Arial"/>
        <family val="2"/>
      </rPr>
      <t xml:space="preserve">PPH Zonasi II </t>
    </r>
    <r>
      <rPr>
        <sz val="10"/>
        <rFont val="Arial"/>
        <family val="2"/>
      </rPr>
      <t>digunakan untuk wilayah Maluku, Maluku Utara, Papua Barat</t>
    </r>
  </si>
  <si>
    <r>
      <rPr>
        <b/>
        <sz val="10"/>
        <rFont val="Arial"/>
        <family val="2"/>
      </rPr>
      <t xml:space="preserve">PPH Zonasi III </t>
    </r>
    <r>
      <rPr>
        <sz val="10"/>
        <rFont val="Arial"/>
        <family val="2"/>
      </rPr>
      <t>digunakan untuk wilayah Papua, Papua Pegunungan, Papua Tengah, Papua Selatan</t>
    </r>
  </si>
  <si>
    <t xml:space="preserve">Energi </t>
  </si>
  <si>
    <t xml:space="preserve">Protein </t>
  </si>
  <si>
    <r>
      <t>Namun, apabila tidak menggunakan sheet</t>
    </r>
    <r>
      <rPr>
        <i/>
        <sz val="11"/>
        <color theme="1"/>
        <rFont val="Calibri"/>
        <family val="2"/>
        <scheme val="minor"/>
      </rPr>
      <t xml:space="preserve"> "Estimasi Ekspor Impor",</t>
    </r>
    <r>
      <rPr>
        <sz val="11"/>
        <color theme="1"/>
        <rFont val="Calibri"/>
        <family val="2"/>
        <scheme val="minor"/>
      </rPr>
      <t xml:space="preserve"> maka hasil </t>
    </r>
    <r>
      <rPr>
        <i/>
        <sz val="11"/>
        <color theme="1"/>
        <rFont val="Calibri"/>
        <family val="2"/>
        <scheme val="minor"/>
      </rPr>
      <t>"Tabel NBM"</t>
    </r>
    <r>
      <rPr>
        <sz val="11"/>
        <color theme="1"/>
        <rFont val="Calibri"/>
        <family val="2"/>
        <scheme val="minor"/>
      </rPr>
      <t xml:space="preserve"> dan </t>
    </r>
    <r>
      <rPr>
        <i/>
        <sz val="11"/>
        <color theme="1"/>
        <rFont val="Calibri"/>
        <family val="2"/>
        <scheme val="minor"/>
      </rPr>
      <t>"Tabel NBM REVISI"</t>
    </r>
    <r>
      <rPr>
        <sz val="11"/>
        <color theme="1"/>
        <rFont val="Calibri"/>
        <family val="2"/>
        <scheme val="minor"/>
      </rPr>
      <t xml:space="preserve"> akan sama. Jadi bisa menggunakan hasil dari</t>
    </r>
    <r>
      <rPr>
        <i/>
        <sz val="11"/>
        <color theme="1"/>
        <rFont val="Calibri"/>
        <family val="2"/>
        <scheme val="minor"/>
      </rPr>
      <t xml:space="preserve"> "Tabel NBM"</t>
    </r>
  </si>
  <si>
    <r>
      <t xml:space="preserve">Apabila ekspor impor menggunakan estimasi berdasarkan sheet </t>
    </r>
    <r>
      <rPr>
        <i/>
        <sz val="11"/>
        <color theme="1"/>
        <rFont val="Calibri"/>
        <family val="2"/>
        <scheme val="minor"/>
      </rPr>
      <t>"Estimasi Eskpor Impor"</t>
    </r>
    <r>
      <rPr>
        <sz val="11"/>
        <color theme="1"/>
        <rFont val="Calibri"/>
        <family val="2"/>
        <scheme val="minor"/>
      </rPr>
      <t>, maka tabel yang digunakan</t>
    </r>
    <r>
      <rPr>
        <i/>
        <sz val="11"/>
        <color theme="1"/>
        <rFont val="Calibri"/>
        <family val="2"/>
        <scheme val="minor"/>
      </rPr>
      <t xml:space="preserve"> "Tabel NBM REVISI" </t>
    </r>
    <r>
      <rPr>
        <sz val="11"/>
        <color theme="1"/>
        <rFont val="Calibri"/>
        <family val="2"/>
        <scheme val="minor"/>
      </rPr>
      <t>dan "</t>
    </r>
    <r>
      <rPr>
        <i/>
        <sz val="11"/>
        <color theme="1"/>
        <rFont val="Calibri"/>
        <family val="2"/>
        <scheme val="minor"/>
      </rPr>
      <t>PPH REVISI"</t>
    </r>
  </si>
  <si>
    <r>
      <t>Perbedaan Sheet</t>
    </r>
    <r>
      <rPr>
        <b/>
        <sz val="11"/>
        <color theme="1"/>
        <rFont val="Calibri"/>
        <family val="2"/>
        <scheme val="minor"/>
      </rPr>
      <t xml:space="preserve"> "Tabel NBM"</t>
    </r>
    <r>
      <rPr>
        <sz val="11"/>
        <color theme="1"/>
        <rFont val="Calibri"/>
        <family val="2"/>
        <scheme val="minor"/>
      </rPr>
      <t xml:space="preserve"> dan</t>
    </r>
    <r>
      <rPr>
        <b/>
        <sz val="11"/>
        <color theme="1"/>
        <rFont val="Calibri"/>
        <family val="2"/>
        <scheme val="minor"/>
      </rPr>
      <t xml:space="preserve"> "Tabel NBM REVISI"</t>
    </r>
  </si>
  <si>
    <t>Daging Sapi Lokal</t>
  </si>
  <si>
    <t>Daging Sapi Eks Impor</t>
  </si>
  <si>
    <r>
      <t>Sagu</t>
    </r>
    <r>
      <rPr>
        <b/>
        <i/>
        <sz val="8"/>
        <rFont val="Times New Roman"/>
        <family val="1"/>
      </rPr>
      <t>/Sago</t>
    </r>
  </si>
  <si>
    <t>Angka Konsumsi Kapita/ tahun (kg)</t>
  </si>
  <si>
    <t>Angka Konsumsi Kapita/ tahun + 10%            (Kg)</t>
  </si>
  <si>
    <t>Perkiraan Produksi (ton)</t>
  </si>
  <si>
    <t>Luas Panen</t>
  </si>
  <si>
    <t>*Isi salah satu</t>
  </si>
  <si>
    <t xml:space="preserve">5. </t>
  </si>
  <si>
    <t>Beberapa sheet tidak dapat diedit (protected sheet), merupakah sheet yang sudah terumus sehingga otomatis terisi.</t>
  </si>
  <si>
    <t>Cabe Besar/tw/teropong/keriting/Chilli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</si>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</sst>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\(0\)"/>
    <numFmt numFmtId="167" formatCode="_(* #,##0.00_);_(* \(#,##0.00\);_(* &quot;-&quot;_);_(@_)"/>
    <numFmt numFmtId="168" formatCode="0.000"/>
    <numFmt numFmtId="169" formatCode="0.0"/>
    <numFmt numFmtId="170" formatCode="_(* #,##0_);_(* \(#,##0\);_(* &quot;-&quot;??_);_(@_)"/>
    <numFmt numFmtId="171" formatCode="#,##0.000"/>
    <numFmt numFmtId="172" formatCode="_(* #,##0.0_);_(* \(#,##0.0\);_(* &quot;-&quot;_);_(@_)"/>
    <numFmt numFmtId="173" formatCode="_(* #,##0.0_);_(* \(#,##0.0\);_(* &quot;-&quot;??_);_(@_)"/>
    <numFmt numFmtId="174" formatCode="_(* #,##0.0000_);_(* \(#,##0.0000\);_(* &quot;-&quot;??_);_(@_)"/>
    <numFmt numFmtId="175" formatCode="_(* #,##0.000_);_(* \(#,##0.000\);_(* &quot;-&quot;_);_(@_)"/>
    <numFmt numFmtId="176" formatCode="_(* #,##0.0000_);_(* \(#,##0.0000\);_(* &quot;-&quot;_);_(@_)"/>
    <numFmt numFmtId="177" formatCode="_(* #,##0.0000_);_(* \(#,##0.0000\);_(* &quot;-&quot;????_);_(@_)"/>
    <numFmt numFmtId="178" formatCode="_(* #,##0.00000_);_(* \(#,##0.00000\);_(* &quot;-&quot;??_);_(@_)"/>
  </numFmts>
  <fonts count="8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b/>
      <i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Maiandra GD"/>
      <family val="2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Maiandra GD"/>
      <family val="2"/>
    </font>
    <font>
      <sz val="11"/>
      <name val="Times New Roman"/>
      <family val="1"/>
    </font>
    <font>
      <sz val="9"/>
      <name val="Maiandra GD"/>
      <family val="2"/>
    </font>
    <font>
      <b/>
      <sz val="14"/>
      <name val="Maiandra GD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Maiandra GD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8"/>
      <name val="Maiandra GD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sz val="8"/>
      <color rgb="FFFF0000"/>
      <name val="Maiandra GD"/>
      <family val="2"/>
    </font>
    <font>
      <sz val="8"/>
      <color indexed="10"/>
      <name val="Maiandra GD"/>
      <family val="2"/>
    </font>
    <font>
      <sz val="9"/>
      <color rgb="FFFF0000"/>
      <name val="Tahoma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Tahoma"/>
      <family val="2"/>
    </font>
    <font>
      <sz val="8"/>
      <color rgb="FFFF0000"/>
      <name val="Arial"/>
      <family val="2"/>
    </font>
    <font>
      <sz val="7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1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Times New Roman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95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>
      <alignment vertical="top"/>
    </xf>
    <xf numFmtId="0" fontId="24" fillId="0" borderId="0">
      <alignment vertical="top"/>
    </xf>
    <xf numFmtId="0" fontId="25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45" fillId="0" borderId="0"/>
    <xf numFmtId="165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9" borderId="0" applyNumberFormat="0" applyBorder="0" applyAlignment="0" applyProtection="0"/>
    <xf numFmtId="0" fontId="50" fillId="11" borderId="0" applyNumberFormat="0" applyBorder="0" applyAlignment="0" applyProtection="0"/>
    <xf numFmtId="0" fontId="51" fillId="7" borderId="69" applyNumberFormat="0" applyAlignment="0" applyProtection="0"/>
    <xf numFmtId="0" fontId="52" fillId="27" borderId="70" applyNumberFormat="0" applyAlignment="0" applyProtection="0"/>
    <xf numFmtId="164" fontId="45" fillId="0" borderId="0" applyFont="0" applyFill="0" applyBorder="0" applyAlignment="0" applyProtection="0"/>
    <xf numFmtId="41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12" borderId="0" applyNumberFormat="0" applyBorder="0" applyAlignment="0" applyProtection="0"/>
    <xf numFmtId="0" fontId="56" fillId="0" borderId="71" applyNumberFormat="0" applyFill="0" applyAlignment="0" applyProtection="0"/>
    <xf numFmtId="0" fontId="57" fillId="0" borderId="72" applyNumberFormat="0" applyFill="0" applyAlignment="0" applyProtection="0"/>
    <xf numFmtId="0" fontId="58" fillId="0" borderId="73" applyNumberFormat="0" applyFill="0" applyAlignment="0" applyProtection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9" fillId="15" borderId="69" applyNumberFormat="0" applyAlignment="0" applyProtection="0"/>
    <xf numFmtId="0" fontId="60" fillId="0" borderId="74" applyNumberFormat="0" applyFill="0" applyAlignment="0" applyProtection="0"/>
    <xf numFmtId="0" fontId="61" fillId="28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/>
    <xf numFmtId="0" fontId="46" fillId="0" borderId="0"/>
    <xf numFmtId="0" fontId="53" fillId="0" borderId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/>
    <xf numFmtId="0" fontId="46" fillId="0" borderId="0" applyNumberFormat="0" applyFill="0" applyBorder="0" applyAlignment="0" applyProtection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/>
    <xf numFmtId="0" fontId="46" fillId="0" borderId="0" applyNumberFormat="0" applyFill="0" applyBorder="0" applyAlignment="0" applyProtection="0"/>
    <xf numFmtId="0" fontId="4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29" borderId="75" applyNumberFormat="0" applyFont="0" applyAlignment="0" applyProtection="0"/>
    <xf numFmtId="0" fontId="62" fillId="7" borderId="76" applyNumberFormat="0" applyAlignment="0" applyProtection="0"/>
    <xf numFmtId="9" fontId="46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77" applyNumberFormat="0" applyFill="0" applyAlignment="0" applyProtection="0"/>
    <xf numFmtId="0" fontId="65" fillId="0" borderId="0" applyNumberFormat="0" applyFill="0" applyBorder="0" applyAlignment="0" applyProtection="0"/>
    <xf numFmtId="0" fontId="71" fillId="0" borderId="0"/>
  </cellStyleXfs>
  <cellXfs count="781">
    <xf numFmtId="0" fontId="0" fillId="0" borderId="0" xfId="0"/>
    <xf numFmtId="166" fontId="2" fillId="0" borderId="1" xfId="1" applyNumberFormat="1" applyFont="1" applyBorder="1" applyAlignment="1">
      <alignment horizontal="left"/>
    </xf>
    <xf numFmtId="166" fontId="2" fillId="0" borderId="2" xfId="1" applyNumberFormat="1" applyFont="1" applyBorder="1" applyAlignment="1">
      <alignment horizontal="left"/>
    </xf>
    <xf numFmtId="0" fontId="4" fillId="0" borderId="4" xfId="1" applyFont="1" applyBorder="1"/>
    <xf numFmtId="0" fontId="4" fillId="0" borderId="6" xfId="1" applyFont="1" applyBorder="1"/>
    <xf numFmtId="0" fontId="2" fillId="0" borderId="7" xfId="0" applyFont="1" applyBorder="1"/>
    <xf numFmtId="0" fontId="2" fillId="0" borderId="8" xfId="1" applyFont="1" applyBorder="1"/>
    <xf numFmtId="0" fontId="2" fillId="0" borderId="7" xfId="1" applyFont="1" applyBorder="1"/>
    <xf numFmtId="0" fontId="2" fillId="0" borderId="4" xfId="1" applyFont="1" applyBorder="1"/>
    <xf numFmtId="0" fontId="3" fillId="0" borderId="9" xfId="1" applyFont="1" applyBorder="1"/>
    <xf numFmtId="0" fontId="4" fillId="0" borderId="6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4" fillId="0" borderId="4" xfId="0" applyFont="1" applyBorder="1"/>
    <xf numFmtId="0" fontId="4" fillId="0" borderId="11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4" fillId="0" borderId="6" xfId="0" applyFont="1" applyBorder="1"/>
    <xf numFmtId="0" fontId="4" fillId="0" borderId="4" xfId="1" applyFont="1" applyBorder="1" applyAlignment="1">
      <alignment wrapText="1"/>
    </xf>
    <xf numFmtId="0" fontId="4" fillId="0" borderId="9" xfId="1" applyFont="1" applyBorder="1"/>
    <xf numFmtId="0" fontId="3" fillId="0" borderId="6" xfId="1" applyFont="1" applyBorder="1"/>
    <xf numFmtId="0" fontId="4" fillId="0" borderId="11" xfId="1" applyFont="1" applyBorder="1"/>
    <xf numFmtId="0" fontId="4" fillId="0" borderId="0" xfId="1" applyFont="1"/>
    <xf numFmtId="0" fontId="7" fillId="0" borderId="0" xfId="0" applyFont="1"/>
    <xf numFmtId="0" fontId="4" fillId="0" borderId="3" xfId="1" applyFont="1" applyBorder="1"/>
    <xf numFmtId="0" fontId="4" fillId="0" borderId="5" xfId="1" applyFont="1" applyBorder="1"/>
    <xf numFmtId="0" fontId="4" fillId="0" borderId="7" xfId="1" applyFont="1" applyBorder="1"/>
    <xf numFmtId="0" fontId="7" fillId="0" borderId="5" xfId="0" applyFont="1" applyBorder="1"/>
    <xf numFmtId="0" fontId="8" fillId="0" borderId="10" xfId="0" applyFont="1" applyBorder="1" applyAlignment="1">
      <alignment vertical="center" wrapText="1"/>
    </xf>
    <xf numFmtId="3" fontId="4" fillId="0" borderId="5" xfId="1" applyNumberFormat="1" applyFont="1" applyBorder="1"/>
    <xf numFmtId="0" fontId="4" fillId="0" borderId="8" xfId="1" applyFont="1" applyBorder="1"/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3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12" xfId="1" applyFont="1" applyBorder="1"/>
    <xf numFmtId="0" fontId="4" fillId="0" borderId="13" xfId="1" applyFont="1" applyBorder="1"/>
    <xf numFmtId="0" fontId="9" fillId="0" borderId="0" xfId="0" applyFont="1" applyAlignment="1">
      <alignment horizontal="center" vertical="center"/>
    </xf>
    <xf numFmtId="166" fontId="2" fillId="0" borderId="7" xfId="1" applyNumberFormat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7" fontId="6" fillId="0" borderId="15" xfId="2" applyNumberFormat="1" applyFont="1" applyFill="1" applyBorder="1" applyAlignment="1">
      <alignment horizontal="right"/>
    </xf>
    <xf numFmtId="4" fontId="6" fillId="0" borderId="15" xfId="3" applyNumberFormat="1" applyFont="1" applyBorder="1"/>
    <xf numFmtId="10" fontId="7" fillId="0" borderId="0" xfId="6" applyNumberFormat="1" applyFont="1"/>
    <xf numFmtId="9" fontId="4" fillId="0" borderId="4" xfId="6" applyFont="1" applyBorder="1" applyAlignment="1">
      <alignment horizontal="left" vertical="center"/>
    </xf>
    <xf numFmtId="0" fontId="7" fillId="0" borderId="22" xfId="0" applyFont="1" applyBorder="1"/>
    <xf numFmtId="0" fontId="7" fillId="0" borderId="29" xfId="0" applyFont="1" applyBorder="1"/>
    <xf numFmtId="0" fontId="7" fillId="0" borderId="31" xfId="0" applyFont="1" applyBorder="1"/>
    <xf numFmtId="0" fontId="7" fillId="0" borderId="26" xfId="0" applyFont="1" applyBorder="1"/>
    <xf numFmtId="0" fontId="7" fillId="0" borderId="27" xfId="0" applyFont="1" applyBorder="1"/>
    <xf numFmtId="0" fontId="9" fillId="0" borderId="0" xfId="0" applyFont="1" applyAlignment="1">
      <alignment vertical="center"/>
    </xf>
    <xf numFmtId="166" fontId="2" fillId="0" borderId="0" xfId="1" applyNumberFormat="1" applyFont="1" applyAlignment="1">
      <alignment horizontal="left"/>
    </xf>
    <xf numFmtId="0" fontId="4" fillId="0" borderId="0" xfId="0" applyFont="1"/>
    <xf numFmtId="166" fontId="4" fillId="0" borderId="0" xfId="1" applyNumberFormat="1" applyFont="1" applyAlignment="1">
      <alignment horizontal="right"/>
    </xf>
    <xf numFmtId="0" fontId="4" fillId="0" borderId="0" xfId="1" applyFont="1" applyAlignment="1">
      <alignment horizontal="right"/>
    </xf>
    <xf numFmtId="166" fontId="2" fillId="0" borderId="0" xfId="1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2" fontId="6" fillId="0" borderId="15" xfId="3" applyNumberFormat="1" applyFont="1" applyBorder="1" applyAlignment="1">
      <alignment horizontal="right"/>
    </xf>
    <xf numFmtId="166" fontId="4" fillId="2" borderId="0" xfId="1" applyNumberFormat="1" applyFont="1" applyFill="1" applyAlignment="1">
      <alignment horizontal="right"/>
    </xf>
    <xf numFmtId="0" fontId="14" fillId="0" borderId="0" xfId="1" applyFont="1"/>
    <xf numFmtId="0" fontId="15" fillId="0" borderId="0" xfId="1" applyFont="1"/>
    <xf numFmtId="164" fontId="14" fillId="0" borderId="0" xfId="2" applyFont="1" applyFill="1"/>
    <xf numFmtId="167" fontId="14" fillId="0" borderId="0" xfId="2" applyNumberFormat="1" applyFont="1" applyFill="1"/>
    <xf numFmtId="0" fontId="20" fillId="0" borderId="0" xfId="1" applyFont="1" applyAlignment="1">
      <alignment horizontal="center"/>
    </xf>
    <xf numFmtId="0" fontId="21" fillId="0" borderId="0" xfId="1" applyFont="1"/>
    <xf numFmtId="0" fontId="2" fillId="0" borderId="0" xfId="1" applyFont="1"/>
    <xf numFmtId="164" fontId="22" fillId="0" borderId="0" xfId="2" applyFont="1" applyFill="1" applyBorder="1" applyAlignment="1">
      <alignment horizontal="center"/>
    </xf>
    <xf numFmtId="167" fontId="22" fillId="0" borderId="0" xfId="2" applyNumberFormat="1" applyFont="1" applyFill="1" applyBorder="1" applyAlignment="1">
      <alignment horizontal="center"/>
    </xf>
    <xf numFmtId="167" fontId="22" fillId="0" borderId="0" xfId="2" applyNumberFormat="1" applyFont="1" applyFill="1"/>
    <xf numFmtId="164" fontId="22" fillId="0" borderId="0" xfId="2" applyFont="1" applyFill="1" applyBorder="1" applyAlignment="1">
      <alignment horizontal="left"/>
    </xf>
    <xf numFmtId="164" fontId="21" fillId="0" borderId="0" xfId="2" applyFont="1" applyFill="1" applyBorder="1" applyAlignment="1">
      <alignment horizontal="left" vertical="top"/>
    </xf>
    <xf numFmtId="0" fontId="6" fillId="0" borderId="38" xfId="1" applyFont="1" applyBorder="1" applyAlignment="1">
      <alignment horizontal="center"/>
    </xf>
    <xf numFmtId="0" fontId="6" fillId="0" borderId="39" xfId="1" applyFont="1" applyBorder="1" applyAlignment="1">
      <alignment horizontal="center"/>
    </xf>
    <xf numFmtId="0" fontId="14" fillId="0" borderId="18" xfId="1" applyFont="1" applyBorder="1"/>
    <xf numFmtId="0" fontId="14" fillId="0" borderId="19" xfId="1" applyFont="1" applyBorder="1"/>
    <xf numFmtId="0" fontId="14" fillId="0" borderId="20" xfId="1" applyFont="1" applyBorder="1"/>
    <xf numFmtId="164" fontId="4" fillId="0" borderId="15" xfId="2" applyFont="1" applyFill="1" applyBorder="1" applyAlignment="1">
      <alignment horizontal="center" vertical="center"/>
    </xf>
    <xf numFmtId="164" fontId="4" fillId="0" borderId="15" xfId="2" applyFont="1" applyFill="1" applyBorder="1" applyAlignment="1">
      <alignment horizontal="center"/>
    </xf>
    <xf numFmtId="0" fontId="6" fillId="0" borderId="44" xfId="1" applyFont="1" applyBorder="1" applyAlignment="1">
      <alignment horizontal="center"/>
    </xf>
    <xf numFmtId="0" fontId="6" fillId="0" borderId="45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46" xfId="1" applyFont="1" applyBorder="1" applyAlignment="1">
      <alignment horizontal="center"/>
    </xf>
    <xf numFmtId="0" fontId="14" fillId="0" borderId="7" xfId="1" applyFont="1" applyBorder="1"/>
    <xf numFmtId="0" fontId="14" fillId="0" borderId="47" xfId="1" applyFont="1" applyBorder="1"/>
    <xf numFmtId="164" fontId="4" fillId="0" borderId="45" xfId="2" applyFont="1" applyFill="1" applyBorder="1" applyAlignment="1">
      <alignment horizontal="center"/>
    </xf>
    <xf numFmtId="167" fontId="4" fillId="0" borderId="15" xfId="2" applyNumberFormat="1" applyFont="1" applyFill="1" applyBorder="1" applyAlignment="1">
      <alignment horizontal="center" vertical="center"/>
    </xf>
    <xf numFmtId="167" fontId="4" fillId="0" borderId="46" xfId="2" applyNumberFormat="1" applyFont="1" applyFill="1" applyBorder="1" applyAlignment="1">
      <alignment horizontal="center" vertical="center"/>
    </xf>
    <xf numFmtId="0" fontId="6" fillId="0" borderId="48" xfId="1" applyFont="1" applyBorder="1" applyAlignment="1">
      <alignment horizontal="center"/>
    </xf>
    <xf numFmtId="164" fontId="5" fillId="0" borderId="45" xfId="2" applyFont="1" applyFill="1" applyBorder="1" applyAlignment="1">
      <alignment horizontal="center" vertical="center"/>
    </xf>
    <xf numFmtId="167" fontId="4" fillId="0" borderId="45" xfId="2" applyNumberFormat="1" applyFont="1" applyFill="1" applyBorder="1" applyAlignment="1">
      <alignment horizontal="center" vertical="center"/>
    </xf>
    <xf numFmtId="167" fontId="5" fillId="0" borderId="45" xfId="2" applyNumberFormat="1" applyFont="1" applyFill="1" applyBorder="1" applyAlignment="1">
      <alignment horizontal="center" vertical="center"/>
    </xf>
    <xf numFmtId="167" fontId="5" fillId="0" borderId="48" xfId="2" applyNumberFormat="1" applyFont="1" applyFill="1" applyBorder="1" applyAlignment="1">
      <alignment horizontal="center" vertical="center"/>
    </xf>
    <xf numFmtId="0" fontId="23" fillId="0" borderId="44" xfId="1" applyFont="1" applyBorder="1" applyAlignment="1">
      <alignment horizontal="center" vertical="center"/>
    </xf>
    <xf numFmtId="0" fontId="23" fillId="0" borderId="45" xfId="1" applyFont="1" applyBorder="1" applyAlignment="1">
      <alignment horizontal="center"/>
    </xf>
    <xf numFmtId="167" fontId="4" fillId="0" borderId="48" xfId="2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164" fontId="4" fillId="0" borderId="50" xfId="2" applyFont="1" applyFill="1" applyBorder="1" applyAlignment="1">
      <alignment horizontal="center" vertical="center"/>
    </xf>
    <xf numFmtId="164" fontId="5" fillId="0" borderId="50" xfId="2" applyFont="1" applyFill="1" applyBorder="1" applyAlignment="1">
      <alignment horizontal="center"/>
    </xf>
    <xf numFmtId="167" fontId="5" fillId="0" borderId="50" xfId="2" applyNumberFormat="1" applyFont="1" applyFill="1" applyBorder="1" applyAlignment="1">
      <alignment horizontal="center" vertical="center"/>
    </xf>
    <xf numFmtId="167" fontId="5" fillId="0" borderId="51" xfId="2" applyNumberFormat="1" applyFont="1" applyFill="1" applyBorder="1" applyAlignment="1">
      <alignment horizontal="center" vertical="center"/>
    </xf>
    <xf numFmtId="0" fontId="23" fillId="0" borderId="52" xfId="1" applyFont="1" applyBorder="1" applyAlignment="1">
      <alignment horizontal="center" vertical="center"/>
    </xf>
    <xf numFmtId="0" fontId="23" fillId="0" borderId="50" xfId="1" applyFont="1" applyBorder="1" applyAlignment="1">
      <alignment horizontal="center"/>
    </xf>
    <xf numFmtId="0" fontId="14" fillId="0" borderId="12" xfId="1" applyFont="1" applyBorder="1"/>
    <xf numFmtId="0" fontId="14" fillId="0" borderId="14" xfId="1" applyFont="1" applyBorder="1"/>
    <xf numFmtId="0" fontId="14" fillId="0" borderId="21" xfId="1" applyFont="1" applyBorder="1"/>
    <xf numFmtId="166" fontId="6" fillId="0" borderId="55" xfId="1" applyNumberFormat="1" applyFont="1" applyBorder="1" applyAlignment="1">
      <alignment horizontal="center"/>
    </xf>
    <xf numFmtId="166" fontId="6" fillId="0" borderId="54" xfId="1" applyNumberFormat="1" applyFont="1" applyBorder="1" applyAlignment="1">
      <alignment horizontal="center"/>
    </xf>
    <xf numFmtId="166" fontId="6" fillId="0" borderId="56" xfId="1" applyNumberFormat="1" applyFont="1" applyBorder="1" applyAlignment="1">
      <alignment horizontal="center"/>
    </xf>
    <xf numFmtId="3" fontId="6" fillId="0" borderId="16" xfId="8" applyNumberFormat="1" applyFont="1" applyBorder="1" applyAlignment="1" applyProtection="1">
      <alignment horizontal="center" vertical="top"/>
      <protection locked="0"/>
    </xf>
    <xf numFmtId="3" fontId="6" fillId="0" borderId="16" xfId="9" applyNumberFormat="1" applyFont="1" applyBorder="1" applyAlignment="1" applyProtection="1">
      <alignment horizontal="center" vertical="top"/>
      <protection locked="0"/>
    </xf>
    <xf numFmtId="3" fontId="6" fillId="0" borderId="0" xfId="9" applyNumberFormat="1" applyFont="1" applyAlignment="1" applyProtection="1">
      <alignment horizontal="center" vertical="top"/>
      <protection locked="0"/>
    </xf>
    <xf numFmtId="164" fontId="4" fillId="0" borderId="24" xfId="2" applyFont="1" applyFill="1" applyBorder="1" applyAlignment="1">
      <alignment horizontal="center"/>
    </xf>
    <xf numFmtId="167" fontId="4" fillId="0" borderId="24" xfId="2" applyNumberFormat="1" applyFont="1" applyFill="1" applyBorder="1" applyAlignment="1" applyProtection="1">
      <alignment vertical="top"/>
      <protection locked="0"/>
    </xf>
    <xf numFmtId="167" fontId="2" fillId="0" borderId="57" xfId="10" applyNumberFormat="1" applyFont="1" applyFill="1" applyBorder="1" applyAlignment="1" applyProtection="1">
      <alignment vertical="top"/>
      <protection locked="0"/>
    </xf>
    <xf numFmtId="166" fontId="6" fillId="0" borderId="58" xfId="1" applyNumberFormat="1" applyFont="1" applyBorder="1" applyAlignment="1">
      <alignment horizontal="center"/>
    </xf>
    <xf numFmtId="166" fontId="6" fillId="0" borderId="59" xfId="1" applyNumberFormat="1" applyFont="1" applyBorder="1" applyAlignment="1">
      <alignment horizontal="center"/>
    </xf>
    <xf numFmtId="166" fontId="6" fillId="0" borderId="40" xfId="1" applyNumberFormat="1" applyFont="1" applyBorder="1" applyAlignment="1">
      <alignment horizontal="center"/>
    </xf>
    <xf numFmtId="3" fontId="6" fillId="0" borderId="0" xfId="8" applyNumberFormat="1" applyFont="1" applyProtection="1">
      <alignment vertical="top"/>
      <protection locked="0"/>
    </xf>
    <xf numFmtId="3" fontId="6" fillId="0" borderId="0" xfId="9" applyNumberFormat="1" applyFont="1" applyProtection="1">
      <alignment vertical="top"/>
      <protection locked="0"/>
    </xf>
    <xf numFmtId="167" fontId="20" fillId="0" borderId="0" xfId="1" applyNumberFormat="1" applyFont="1"/>
    <xf numFmtId="164" fontId="4" fillId="0" borderId="15" xfId="2" applyFont="1" applyFill="1" applyBorder="1" applyAlignment="1" applyProtection="1">
      <alignment horizontal="right" vertical="top"/>
      <protection locked="0"/>
    </xf>
    <xf numFmtId="170" fontId="4" fillId="0" borderId="15" xfId="11" applyNumberFormat="1" applyFont="1" applyFill="1" applyBorder="1" applyAlignment="1">
      <alignment horizontal="right"/>
    </xf>
    <xf numFmtId="164" fontId="4" fillId="0" borderId="15" xfId="2" applyFont="1" applyFill="1" applyBorder="1" applyAlignment="1">
      <alignment horizontal="right"/>
    </xf>
    <xf numFmtId="164" fontId="2" fillId="0" borderId="15" xfId="2" applyFont="1" applyFill="1" applyBorder="1" applyAlignment="1">
      <alignment horizontal="right" wrapText="1"/>
    </xf>
    <xf numFmtId="167" fontId="4" fillId="0" borderId="15" xfId="2" applyNumberFormat="1" applyFont="1" applyFill="1" applyBorder="1" applyAlignment="1" applyProtection="1">
      <alignment horizontal="right" vertical="top"/>
      <protection locked="0"/>
    </xf>
    <xf numFmtId="167" fontId="4" fillId="0" borderId="46" xfId="2" applyNumberFormat="1" applyFont="1" applyFill="1" applyBorder="1" applyAlignment="1" applyProtection="1">
      <alignment horizontal="right" vertical="top"/>
      <protection locked="0"/>
    </xf>
    <xf numFmtId="0" fontId="14" fillId="0" borderId="60" xfId="1" applyFont="1" applyBorder="1"/>
    <xf numFmtId="4" fontId="26" fillId="4" borderId="15" xfId="3" applyNumberFormat="1" applyFont="1" applyFill="1" applyBorder="1"/>
    <xf numFmtId="167" fontId="6" fillId="0" borderId="46" xfId="2" applyNumberFormat="1" applyFont="1" applyFill="1" applyBorder="1" applyAlignment="1">
      <alignment horizontal="right"/>
    </xf>
    <xf numFmtId="4" fontId="6" fillId="0" borderId="0" xfId="8" applyNumberFormat="1" applyFont="1" applyProtection="1">
      <alignment vertical="top"/>
      <protection locked="0"/>
    </xf>
    <xf numFmtId="165" fontId="6" fillId="0" borderId="46" xfId="4" applyFont="1" applyFill="1" applyBorder="1"/>
    <xf numFmtId="164" fontId="4" fillId="0" borderId="22" xfId="2" applyFont="1" applyFill="1" applyBorder="1" applyAlignment="1" applyProtection="1">
      <alignment horizontal="right" vertical="top"/>
      <protection locked="0"/>
    </xf>
    <xf numFmtId="164" fontId="4" fillId="0" borderId="22" xfId="2" applyFont="1" applyFill="1" applyBorder="1" applyAlignment="1">
      <alignment horizontal="right"/>
    </xf>
    <xf numFmtId="0" fontId="14" fillId="0" borderId="61" xfId="1" applyFont="1" applyBorder="1"/>
    <xf numFmtId="167" fontId="6" fillId="0" borderId="22" xfId="2" applyNumberFormat="1" applyFont="1" applyFill="1" applyBorder="1" applyAlignment="1">
      <alignment horizontal="right"/>
    </xf>
    <xf numFmtId="4" fontId="6" fillId="0" borderId="22" xfId="3" applyNumberFormat="1" applyFont="1" applyBorder="1"/>
    <xf numFmtId="4" fontId="26" fillId="0" borderId="22" xfId="3" applyNumberFormat="1" applyFont="1" applyBorder="1"/>
    <xf numFmtId="167" fontId="6" fillId="0" borderId="31" xfId="2" applyNumberFormat="1" applyFont="1" applyFill="1" applyBorder="1" applyAlignment="1">
      <alignment horizontal="right"/>
    </xf>
    <xf numFmtId="2" fontId="12" fillId="0" borderId="0" xfId="0" applyNumberFormat="1" applyFont="1"/>
    <xf numFmtId="4" fontId="6" fillId="0" borderId="31" xfId="3" applyNumberFormat="1" applyFont="1" applyBorder="1"/>
    <xf numFmtId="164" fontId="2" fillId="0" borderId="62" xfId="2" applyFont="1" applyFill="1" applyBorder="1" applyAlignment="1" applyProtection="1">
      <alignment horizontal="right" vertical="top"/>
      <protection locked="0"/>
    </xf>
    <xf numFmtId="167" fontId="2" fillId="0" borderId="62" xfId="2" applyNumberFormat="1" applyFont="1" applyFill="1" applyBorder="1" applyAlignment="1" applyProtection="1">
      <alignment horizontal="right" vertical="top"/>
      <protection locked="0"/>
    </xf>
    <xf numFmtId="167" fontId="2" fillId="0" borderId="63" xfId="2" applyNumberFormat="1" applyFont="1" applyFill="1" applyBorder="1" applyAlignment="1" applyProtection="1">
      <alignment horizontal="right" vertical="top"/>
      <protection locked="0"/>
    </xf>
    <xf numFmtId="167" fontId="27" fillId="0" borderId="22" xfId="2" applyNumberFormat="1" applyFont="1" applyFill="1" applyBorder="1" applyAlignment="1">
      <alignment horizontal="right"/>
    </xf>
    <xf numFmtId="168" fontId="28" fillId="0" borderId="0" xfId="0" applyNumberFormat="1" applyFont="1"/>
    <xf numFmtId="168" fontId="28" fillId="0" borderId="0" xfId="4" applyNumberFormat="1" applyFont="1"/>
    <xf numFmtId="4" fontId="6" fillId="4" borderId="22" xfId="3" applyNumberFormat="1" applyFont="1" applyFill="1" applyBorder="1"/>
    <xf numFmtId="4" fontId="6" fillId="0" borderId="46" xfId="3" applyNumberFormat="1" applyFont="1" applyBorder="1"/>
    <xf numFmtId="0" fontId="14" fillId="0" borderId="64" xfId="1" applyFont="1" applyBorder="1"/>
    <xf numFmtId="167" fontId="6" fillId="0" borderId="23" xfId="2" applyNumberFormat="1" applyFont="1" applyFill="1" applyBorder="1" applyAlignment="1">
      <alignment horizontal="right"/>
    </xf>
    <xf numFmtId="4" fontId="6" fillId="0" borderId="23" xfId="3" applyNumberFormat="1" applyFont="1" applyBorder="1"/>
    <xf numFmtId="4" fontId="6" fillId="0" borderId="29" xfId="3" applyNumberFormat="1" applyFont="1" applyBorder="1"/>
    <xf numFmtId="2" fontId="12" fillId="0" borderId="0" xfId="4" applyNumberFormat="1" applyFont="1"/>
    <xf numFmtId="4" fontId="6" fillId="4" borderId="15" xfId="3" applyNumberFormat="1" applyFont="1" applyFill="1" applyBorder="1"/>
    <xf numFmtId="0" fontId="1" fillId="0" borderId="61" xfId="1" applyBorder="1"/>
    <xf numFmtId="167" fontId="29" fillId="0" borderId="22" xfId="2" applyNumberFormat="1" applyFont="1" applyFill="1" applyBorder="1" applyAlignment="1">
      <alignment horizontal="right"/>
    </xf>
    <xf numFmtId="0" fontId="4" fillId="0" borderId="0" xfId="8" applyFont="1">
      <alignment vertical="top"/>
    </xf>
    <xf numFmtId="4" fontId="4" fillId="0" borderId="0" xfId="8" applyNumberFormat="1" applyFont="1">
      <alignment vertical="top"/>
    </xf>
    <xf numFmtId="4" fontId="30" fillId="0" borderId="31" xfId="3" applyNumberFormat="1" applyFont="1" applyBorder="1"/>
    <xf numFmtId="4" fontId="6" fillId="0" borderId="45" xfId="3" applyNumberFormat="1" applyFont="1" applyBorder="1"/>
    <xf numFmtId="4" fontId="6" fillId="5" borderId="22" xfId="3" applyNumberFormat="1" applyFont="1" applyFill="1" applyBorder="1"/>
    <xf numFmtId="0" fontId="31" fillId="0" borderId="0" xfId="0" applyFont="1"/>
    <xf numFmtId="165" fontId="12" fillId="0" borderId="0" xfId="0" applyNumberFormat="1" applyFont="1"/>
    <xf numFmtId="171" fontId="26" fillId="4" borderId="15" xfId="3" applyNumberFormat="1" applyFont="1" applyFill="1" applyBorder="1"/>
    <xf numFmtId="4" fontId="26" fillId="4" borderId="22" xfId="3" applyNumberFormat="1" applyFont="1" applyFill="1" applyBorder="1"/>
    <xf numFmtId="167" fontId="33" fillId="0" borderId="0" xfId="2" applyNumberFormat="1" applyFont="1" applyFill="1" applyBorder="1"/>
    <xf numFmtId="2" fontId="33" fillId="0" borderId="0" xfId="2" applyNumberFormat="1" applyFont="1" applyFill="1" applyBorder="1"/>
    <xf numFmtId="4" fontId="26" fillId="5" borderId="22" xfId="3" applyNumberFormat="1" applyFont="1" applyFill="1" applyBorder="1"/>
    <xf numFmtId="4" fontId="34" fillId="4" borderId="22" xfId="3" applyNumberFormat="1" applyFont="1" applyFill="1" applyBorder="1"/>
    <xf numFmtId="0" fontId="4" fillId="0" borderId="0" xfId="9" applyFont="1">
      <alignment vertical="top"/>
    </xf>
    <xf numFmtId="4" fontId="34" fillId="5" borderId="22" xfId="3" applyNumberFormat="1" applyFont="1" applyFill="1" applyBorder="1"/>
    <xf numFmtId="2" fontId="6" fillId="0" borderId="31" xfId="3" applyNumberFormat="1" applyFont="1" applyBorder="1"/>
    <xf numFmtId="164" fontId="4" fillId="0" borderId="22" xfId="2" applyFont="1" applyFill="1" applyBorder="1"/>
    <xf numFmtId="0" fontId="6" fillId="0" borderId="0" xfId="13" applyFont="1"/>
    <xf numFmtId="169" fontId="6" fillId="0" borderId="0" xfId="13" applyNumberFormat="1" applyFont="1"/>
    <xf numFmtId="167" fontId="4" fillId="0" borderId="45" xfId="2" applyNumberFormat="1" applyFont="1" applyFill="1" applyBorder="1" applyAlignment="1" applyProtection="1">
      <alignment horizontal="right" vertical="top"/>
      <protection locked="0"/>
    </xf>
    <xf numFmtId="167" fontId="4" fillId="0" borderId="48" xfId="2" applyNumberFormat="1" applyFont="1" applyFill="1" applyBorder="1" applyAlignment="1" applyProtection="1">
      <alignment horizontal="right" vertical="top"/>
      <protection locked="0"/>
    </xf>
    <xf numFmtId="4" fontId="4" fillId="0" borderId="22" xfId="3" applyNumberFormat="1" applyFont="1" applyBorder="1"/>
    <xf numFmtId="167" fontId="6" fillId="6" borderId="15" xfId="2" applyNumberFormat="1" applyFont="1" applyFill="1" applyBorder="1" applyAlignment="1">
      <alignment horizontal="right"/>
    </xf>
    <xf numFmtId="164" fontId="21" fillId="0" borderId="61" xfId="1" applyNumberFormat="1" applyFont="1" applyBorder="1"/>
    <xf numFmtId="167" fontId="4" fillId="0" borderId="22" xfId="2" applyNumberFormat="1" applyFont="1" applyFill="1" applyBorder="1" applyAlignment="1">
      <alignment horizontal="right"/>
    </xf>
    <xf numFmtId="4" fontId="4" fillId="0" borderId="23" xfId="3" applyNumberFormat="1" applyFont="1" applyBorder="1"/>
    <xf numFmtId="4" fontId="4" fillId="0" borderId="31" xfId="3" applyNumberFormat="1" applyFont="1" applyBorder="1"/>
    <xf numFmtId="3" fontId="4" fillId="0" borderId="0" xfId="8" applyNumberFormat="1" applyFont="1" applyProtection="1">
      <alignment vertical="top"/>
      <protection locked="0"/>
    </xf>
    <xf numFmtId="4" fontId="4" fillId="0" borderId="0" xfId="8" applyNumberFormat="1" applyFont="1" applyProtection="1">
      <alignment vertical="top"/>
      <protection locked="0"/>
    </xf>
    <xf numFmtId="3" fontId="4" fillId="0" borderId="0" xfId="9" applyNumberFormat="1" applyFont="1" applyProtection="1">
      <alignment vertical="top"/>
      <protection locked="0"/>
    </xf>
    <xf numFmtId="167" fontId="6" fillId="6" borderId="22" xfId="2" applyNumberFormat="1" applyFont="1" applyFill="1" applyBorder="1" applyAlignment="1">
      <alignment horizontal="right"/>
    </xf>
    <xf numFmtId="164" fontId="21" fillId="0" borderId="0" xfId="2" applyFont="1" applyFill="1"/>
    <xf numFmtId="0" fontId="14" fillId="0" borderId="26" xfId="1" applyFont="1" applyBorder="1"/>
    <xf numFmtId="4" fontId="6" fillId="0" borderId="31" xfId="1" applyNumberFormat="1" applyFont="1" applyBorder="1"/>
    <xf numFmtId="4" fontId="6" fillId="0" borderId="0" xfId="9" applyNumberFormat="1" applyFont="1" applyProtection="1">
      <alignment vertical="top"/>
      <protection locked="0"/>
    </xf>
    <xf numFmtId="1" fontId="6" fillId="0" borderId="0" xfId="9" applyNumberFormat="1" applyFont="1" applyProtection="1">
      <alignment vertical="top"/>
      <protection locked="0"/>
    </xf>
    <xf numFmtId="164" fontId="4" fillId="0" borderId="0" xfId="2" applyFont="1" applyFill="1"/>
    <xf numFmtId="164" fontId="35" fillId="0" borderId="0" xfId="2" applyFont="1" applyFill="1"/>
    <xf numFmtId="0" fontId="14" fillId="0" borderId="44" xfId="1" applyFont="1" applyBorder="1"/>
    <xf numFmtId="164" fontId="21" fillId="0" borderId="0" xfId="2" applyFont="1" applyFill="1" applyAlignment="1">
      <alignment horizontal="right"/>
    </xf>
    <xf numFmtId="167" fontId="21" fillId="0" borderId="0" xfId="2" applyNumberFormat="1" applyFont="1" applyFill="1"/>
    <xf numFmtId="167" fontId="2" fillId="0" borderId="0" xfId="2" applyNumberFormat="1" applyFont="1" applyFill="1" applyAlignment="1" applyProtection="1">
      <alignment horizontal="right" vertical="top"/>
      <protection locked="0"/>
    </xf>
    <xf numFmtId="167" fontId="36" fillId="0" borderId="0" xfId="2" applyNumberFormat="1" applyFont="1" applyFill="1" applyAlignment="1" applyProtection="1">
      <alignment horizontal="right" vertical="top"/>
      <protection locked="0"/>
    </xf>
    <xf numFmtId="167" fontId="36" fillId="0" borderId="0" xfId="2" applyNumberFormat="1" applyFont="1" applyFill="1"/>
    <xf numFmtId="0" fontId="14" fillId="0" borderId="27" xfId="1" applyFont="1" applyBorder="1"/>
    <xf numFmtId="2" fontId="6" fillId="0" borderId="44" xfId="9" applyNumberFormat="1" applyFont="1" applyBorder="1" applyAlignment="1" applyProtection="1">
      <alignment horizontal="right" vertical="top"/>
      <protection locked="0"/>
    </xf>
    <xf numFmtId="167" fontId="2" fillId="0" borderId="0" xfId="2" applyNumberFormat="1" applyFont="1" applyFill="1"/>
    <xf numFmtId="164" fontId="37" fillId="0" borderId="0" xfId="2" applyFont="1" applyFill="1"/>
    <xf numFmtId="167" fontId="32" fillId="0" borderId="0" xfId="2" applyNumberFormat="1" applyFont="1" applyFill="1"/>
    <xf numFmtId="164" fontId="6" fillId="0" borderId="0" xfId="2" applyFont="1" applyFill="1"/>
    <xf numFmtId="164" fontId="38" fillId="0" borderId="0" xfId="2" applyFont="1" applyFill="1"/>
    <xf numFmtId="164" fontId="16" fillId="0" borderId="0" xfId="2" applyFont="1" applyFill="1"/>
    <xf numFmtId="164" fontId="16" fillId="0" borderId="0" xfId="2" applyFont="1" applyFill="1" applyBorder="1" applyAlignment="1">
      <alignment horizontal="right"/>
    </xf>
    <xf numFmtId="164" fontId="16" fillId="0" borderId="0" xfId="2" applyFont="1" applyFill="1" applyBorder="1"/>
    <xf numFmtId="2" fontId="6" fillId="0" borderId="0" xfId="9" applyNumberFormat="1" applyFont="1" applyProtection="1">
      <alignment vertical="top"/>
      <protection locked="0"/>
    </xf>
    <xf numFmtId="0" fontId="1" fillId="0" borderId="0" xfId="13"/>
    <xf numFmtId="0" fontId="18" fillId="0" borderId="0" xfId="0" applyFont="1"/>
    <xf numFmtId="0" fontId="18" fillId="0" borderId="0" xfId="0" applyFont="1" applyAlignment="1">
      <alignment horizontal="left" vertical="center"/>
    </xf>
    <xf numFmtId="0" fontId="24" fillId="0" borderId="0" xfId="0" applyFont="1"/>
    <xf numFmtId="0" fontId="24" fillId="0" borderId="16" xfId="0" applyFont="1" applyBorder="1" applyAlignment="1">
      <alignment horizontal="center" vertical="center"/>
    </xf>
    <xf numFmtId="0" fontId="24" fillId="0" borderId="16" xfId="0" quotePrefix="1" applyFont="1" applyBorder="1" applyAlignment="1">
      <alignment horizontal="center" vertical="center"/>
    </xf>
    <xf numFmtId="0" fontId="24" fillId="0" borderId="16" xfId="0" applyFont="1" applyBorder="1"/>
    <xf numFmtId="164" fontId="1" fillId="0" borderId="16" xfId="13" applyNumberFormat="1" applyBorder="1"/>
    <xf numFmtId="172" fontId="40" fillId="7" borderId="66" xfId="2" applyNumberFormat="1" applyFont="1" applyFill="1" applyBorder="1"/>
    <xf numFmtId="172" fontId="40" fillId="7" borderId="66" xfId="2" applyNumberFormat="1" applyFont="1" applyFill="1" applyBorder="1" applyAlignment="1">
      <alignment horizontal="center" vertical="center"/>
    </xf>
    <xf numFmtId="167" fontId="1" fillId="0" borderId="0" xfId="13" applyNumberFormat="1"/>
    <xf numFmtId="172" fontId="40" fillId="7" borderId="67" xfId="2" applyNumberFormat="1" applyFont="1" applyFill="1" applyBorder="1"/>
    <xf numFmtId="172" fontId="40" fillId="7" borderId="67" xfId="2" applyNumberFormat="1" applyFont="1" applyFill="1" applyBorder="1" applyAlignment="1">
      <alignment horizontal="center" vertical="center"/>
    </xf>
    <xf numFmtId="0" fontId="39" fillId="0" borderId="0" xfId="13" applyFont="1" applyAlignment="1">
      <alignment horizontal="right"/>
    </xf>
    <xf numFmtId="164" fontId="39" fillId="0" borderId="0" xfId="13" applyNumberFormat="1" applyFont="1"/>
    <xf numFmtId="0" fontId="40" fillId="0" borderId="16" xfId="13" applyFont="1" applyBorder="1"/>
    <xf numFmtId="170" fontId="40" fillId="0" borderId="16" xfId="11" applyNumberFormat="1" applyFont="1" applyBorder="1" applyAlignment="1">
      <alignment horizontal="right"/>
    </xf>
    <xf numFmtId="172" fontId="40" fillId="0" borderId="16" xfId="2" applyNumberFormat="1" applyFont="1" applyBorder="1"/>
    <xf numFmtId="167" fontId="40" fillId="8" borderId="16" xfId="2" applyNumberFormat="1" applyFont="1" applyFill="1" applyBorder="1"/>
    <xf numFmtId="167" fontId="40" fillId="9" borderId="16" xfId="2" applyNumberFormat="1" applyFont="1" applyFill="1" applyBorder="1"/>
    <xf numFmtId="172" fontId="40" fillId="0" borderId="16" xfId="2" quotePrefix="1" applyNumberFormat="1" applyFont="1" applyBorder="1" applyAlignment="1">
      <alignment horizontal="center"/>
    </xf>
    <xf numFmtId="172" fontId="40" fillId="0" borderId="16" xfId="2" applyNumberFormat="1" applyFont="1" applyBorder="1" applyAlignment="1">
      <alignment horizontal="center"/>
    </xf>
    <xf numFmtId="173" fontId="40" fillId="0" borderId="16" xfId="11" applyNumberFormat="1" applyFont="1" applyBorder="1" applyAlignment="1">
      <alignment horizontal="right"/>
    </xf>
    <xf numFmtId="0" fontId="40" fillId="0" borderId="16" xfId="13" applyFont="1" applyBorder="1" applyAlignment="1">
      <alignment horizontal="right"/>
    </xf>
    <xf numFmtId="167" fontId="41" fillId="9" borderId="16" xfId="13" applyNumberFormat="1" applyFont="1" applyFill="1" applyBorder="1" applyAlignment="1">
      <alignment horizontal="right"/>
    </xf>
    <xf numFmtId="172" fontId="40" fillId="0" borderId="16" xfId="13" applyNumberFormat="1" applyFont="1" applyBorder="1" applyAlignment="1">
      <alignment horizontal="right"/>
    </xf>
    <xf numFmtId="0" fontId="42" fillId="0" borderId="0" xfId="1" applyFont="1" applyAlignment="1">
      <alignment horizontal="right"/>
    </xf>
    <xf numFmtId="170" fontId="0" fillId="0" borderId="0" xfId="4" applyNumberFormat="1" applyFont="1"/>
    <xf numFmtId="0" fontId="2" fillId="0" borderId="1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65" fontId="0" fillId="0" borderId="11" xfId="4" applyFont="1" applyBorder="1"/>
    <xf numFmtId="170" fontId="0" fillId="0" borderId="11" xfId="4" applyNumberFormat="1" applyFont="1" applyBorder="1"/>
    <xf numFmtId="165" fontId="0" fillId="0" borderId="65" xfId="4" applyFont="1" applyBorder="1"/>
    <xf numFmtId="170" fontId="0" fillId="0" borderId="65" xfId="4" applyNumberFormat="1" applyFont="1" applyBorder="1"/>
    <xf numFmtId="170" fontId="44" fillId="0" borderId="65" xfId="4" applyNumberFormat="1" applyFont="1" applyBorder="1"/>
    <xf numFmtId="165" fontId="0" fillId="0" borderId="0" xfId="4" applyFont="1"/>
    <xf numFmtId="0" fontId="9" fillId="0" borderId="0" xfId="0" applyFont="1"/>
    <xf numFmtId="164" fontId="6" fillId="0" borderId="22" xfId="2" applyFont="1" applyFill="1" applyBorder="1" applyAlignment="1">
      <alignment horizontal="right"/>
    </xf>
    <xf numFmtId="164" fontId="1" fillId="0" borderId="0" xfId="13" applyNumberFormat="1"/>
    <xf numFmtId="164" fontId="0" fillId="0" borderId="0" xfId="0" applyNumberFormat="1"/>
    <xf numFmtId="164" fontId="4" fillId="0" borderId="0" xfId="2" applyFont="1" applyFill="1" applyBorder="1" applyAlignment="1">
      <alignment horizontal="left" vertical="top"/>
    </xf>
    <xf numFmtId="164" fontId="2" fillId="0" borderId="0" xfId="2" applyFont="1" applyFill="1" applyBorder="1" applyAlignment="1">
      <alignment horizontal="center"/>
    </xf>
    <xf numFmtId="164" fontId="4" fillId="0" borderId="0" xfId="2" applyFont="1" applyFill="1" applyAlignment="1">
      <alignment horizontal="right"/>
    </xf>
    <xf numFmtId="164" fontId="4" fillId="0" borderId="22" xfId="2" applyFont="1" applyFill="1" applyBorder="1" applyAlignment="1">
      <alignment horizontal="center"/>
    </xf>
    <xf numFmtId="0" fontId="13" fillId="0" borderId="0" xfId="0" applyFont="1"/>
    <xf numFmtId="165" fontId="4" fillId="0" borderId="0" xfId="1" applyNumberFormat="1" applyFont="1"/>
    <xf numFmtId="2" fontId="7" fillId="0" borderId="0" xfId="0" applyNumberFormat="1" applyFont="1"/>
    <xf numFmtId="174" fontId="7" fillId="0" borderId="0" xfId="4" applyNumberFormat="1" applyFont="1"/>
    <xf numFmtId="167" fontId="16" fillId="0" borderId="0" xfId="5" applyNumberFormat="1" applyFont="1" applyFill="1"/>
    <xf numFmtId="167" fontId="21" fillId="0" borderId="0" xfId="2" applyNumberFormat="1" applyFont="1" applyFill="1" applyBorder="1" applyAlignment="1">
      <alignment horizontal="center"/>
    </xf>
    <xf numFmtId="175" fontId="4" fillId="0" borderId="0" xfId="1" applyNumberFormat="1" applyFont="1"/>
    <xf numFmtId="176" fontId="4" fillId="0" borderId="0" xfId="1" applyNumberFormat="1" applyFont="1"/>
    <xf numFmtId="175" fontId="4" fillId="0" borderId="0" xfId="6" applyNumberFormat="1" applyFont="1" applyFill="1"/>
    <xf numFmtId="164" fontId="4" fillId="0" borderId="54" xfId="2" applyFont="1" applyFill="1" applyBorder="1" applyAlignment="1">
      <alignment horizontal="center" vertical="center" wrapText="1"/>
    </xf>
    <xf numFmtId="175" fontId="4" fillId="30" borderId="22" xfId="1" applyNumberFormat="1" applyFont="1" applyFill="1" applyBorder="1" applyAlignment="1">
      <alignment horizontal="center"/>
    </xf>
    <xf numFmtId="175" fontId="4" fillId="30" borderId="22" xfId="6" applyNumberFormat="1" applyFont="1" applyFill="1" applyBorder="1" applyAlignment="1">
      <alignment horizontal="center"/>
    </xf>
    <xf numFmtId="175" fontId="4" fillId="30" borderId="22" xfId="6" applyNumberFormat="1" applyFont="1" applyFill="1" applyBorder="1"/>
    <xf numFmtId="175" fontId="4" fillId="30" borderId="22" xfId="2" applyNumberFormat="1" applyFont="1" applyFill="1" applyBorder="1" applyAlignment="1">
      <alignment horizontal="right"/>
    </xf>
    <xf numFmtId="175" fontId="4" fillId="30" borderId="22" xfId="6" applyNumberFormat="1" applyFont="1" applyFill="1" applyBorder="1" applyAlignment="1">
      <alignment horizontal="right"/>
    </xf>
    <xf numFmtId="175" fontId="4" fillId="30" borderId="22" xfId="3" applyNumberFormat="1" applyFont="1" applyFill="1" applyBorder="1"/>
    <xf numFmtId="175" fontId="4" fillId="30" borderId="22" xfId="0" applyNumberFormat="1" applyFont="1" applyFill="1" applyBorder="1"/>
    <xf numFmtId="0" fontId="9" fillId="0" borderId="78" xfId="0" applyFont="1" applyBorder="1"/>
    <xf numFmtId="174" fontId="9" fillId="0" borderId="78" xfId="4" applyNumberFormat="1" applyFont="1" applyBorder="1" applyAlignment="1">
      <alignment horizontal="center"/>
    </xf>
    <xf numFmtId="0" fontId="9" fillId="0" borderId="78" xfId="0" applyFont="1" applyBorder="1" applyAlignment="1">
      <alignment horizontal="center"/>
    </xf>
    <xf numFmtId="0" fontId="4" fillId="0" borderId="78" xfId="1" applyFont="1" applyBorder="1"/>
    <xf numFmtId="174" fontId="7" fillId="0" borderId="78" xfId="4" applyNumberFormat="1" applyFont="1" applyBorder="1"/>
    <xf numFmtId="2" fontId="7" fillId="0" borderId="78" xfId="0" applyNumberFormat="1" applyFont="1" applyBorder="1"/>
    <xf numFmtId="177" fontId="7" fillId="0" borderId="78" xfId="0" applyNumberFormat="1" applyFont="1" applyBorder="1"/>
    <xf numFmtId="0" fontId="4" fillId="0" borderId="30" xfId="1" applyFont="1" applyBorder="1"/>
    <xf numFmtId="0" fontId="4" fillId="0" borderId="22" xfId="1" applyFont="1" applyBorder="1"/>
    <xf numFmtId="164" fontId="5" fillId="0" borderId="22" xfId="2" applyFont="1" applyFill="1" applyBorder="1" applyAlignment="1">
      <alignment horizontal="center" vertical="center"/>
    </xf>
    <xf numFmtId="0" fontId="7" fillId="0" borderId="78" xfId="0" applyFont="1" applyBorder="1"/>
    <xf numFmtId="2" fontId="7" fillId="0" borderId="22" xfId="0" applyNumberFormat="1" applyFont="1" applyBorder="1"/>
    <xf numFmtId="166" fontId="2" fillId="0" borderId="22" xfId="1" applyNumberFormat="1" applyFont="1" applyBorder="1" applyAlignment="1">
      <alignment horizontal="left"/>
    </xf>
    <xf numFmtId="166" fontId="4" fillId="0" borderId="22" xfId="1" applyNumberFormat="1" applyFont="1" applyBorder="1" applyAlignment="1">
      <alignment horizontal="left"/>
    </xf>
    <xf numFmtId="0" fontId="2" fillId="0" borderId="22" xfId="1" applyFont="1" applyBorder="1"/>
    <xf numFmtId="2" fontId="7" fillId="0" borderId="22" xfId="4" applyNumberFormat="1" applyFont="1" applyBorder="1"/>
    <xf numFmtId="2" fontId="7" fillId="0" borderId="22" xfId="6" applyNumberFormat="1" applyFont="1" applyBorder="1"/>
    <xf numFmtId="0" fontId="2" fillId="0" borderId="22" xfId="0" applyFont="1" applyBorder="1"/>
    <xf numFmtId="0" fontId="3" fillId="0" borderId="22" xfId="1" applyFont="1" applyBorder="1" applyAlignment="1">
      <alignment horizontal="left"/>
    </xf>
    <xf numFmtId="0" fontId="4" fillId="0" borderId="22" xfId="1" applyFont="1" applyBorder="1" applyAlignment="1">
      <alignment horizontal="left" vertical="center"/>
    </xf>
    <xf numFmtId="9" fontId="4" fillId="0" borderId="22" xfId="6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4" fillId="0" borderId="22" xfId="0" applyFont="1" applyBorder="1"/>
    <xf numFmtId="0" fontId="4" fillId="0" borderId="22" xfId="1" applyFont="1" applyBorder="1" applyAlignment="1">
      <alignment horizontal="left"/>
    </xf>
    <xf numFmtId="0" fontId="4" fillId="0" borderId="22" xfId="1" applyFont="1" applyBorder="1" applyAlignment="1">
      <alignment horizontal="right"/>
    </xf>
    <xf numFmtId="0" fontId="3" fillId="0" borderId="22" xfId="1" applyFont="1" applyBorder="1"/>
    <xf numFmtId="0" fontId="2" fillId="0" borderId="30" xfId="0" applyFont="1" applyBorder="1"/>
    <xf numFmtId="0" fontId="2" fillId="0" borderId="30" xfId="1" applyFont="1" applyBorder="1"/>
    <xf numFmtId="0" fontId="2" fillId="0" borderId="30" xfId="1" applyFont="1" applyBorder="1" applyAlignment="1">
      <alignment horizontal="left" vertical="center"/>
    </xf>
    <xf numFmtId="0" fontId="4" fillId="0" borderId="30" xfId="1" applyFont="1" applyBorder="1" applyAlignment="1">
      <alignment horizontal="left"/>
    </xf>
    <xf numFmtId="0" fontId="4" fillId="0" borderId="30" xfId="1" applyFont="1" applyBorder="1" applyAlignment="1">
      <alignment horizontal="right"/>
    </xf>
    <xf numFmtId="0" fontId="4" fillId="0" borderId="25" xfId="1" applyFont="1" applyBorder="1"/>
    <xf numFmtId="2" fontId="7" fillId="0" borderId="26" xfId="0" applyNumberFormat="1" applyFont="1" applyBorder="1"/>
    <xf numFmtId="166" fontId="2" fillId="0" borderId="28" xfId="1" applyNumberFormat="1" applyFont="1" applyBorder="1" applyAlignment="1">
      <alignment horizontal="left"/>
    </xf>
    <xf numFmtId="166" fontId="2" fillId="0" borderId="23" xfId="1" applyNumberFormat="1" applyFont="1" applyBorder="1" applyAlignment="1">
      <alignment horizontal="left"/>
    </xf>
    <xf numFmtId="2" fontId="7" fillId="0" borderId="23" xfId="0" applyNumberFormat="1" applyFont="1" applyBorder="1"/>
    <xf numFmtId="9" fontId="2" fillId="0" borderId="22" xfId="6" applyFont="1" applyBorder="1" applyAlignment="1">
      <alignment horizontal="left" vertical="center"/>
    </xf>
    <xf numFmtId="0" fontId="67" fillId="0" borderId="22" xfId="0" applyFont="1" applyBorder="1" applyAlignment="1">
      <alignment vertical="center"/>
    </xf>
    <xf numFmtId="174" fontId="7" fillId="0" borderId="0" xfId="4" applyNumberFormat="1" applyFont="1" applyBorder="1"/>
    <xf numFmtId="177" fontId="7" fillId="0" borderId="0" xfId="0" applyNumberFormat="1" applyFont="1"/>
    <xf numFmtId="175" fontId="4" fillId="30" borderId="22" xfId="1" applyNumberFormat="1" applyFont="1" applyFill="1" applyBorder="1"/>
    <xf numFmtId="164" fontId="4" fillId="0" borderId="22" xfId="2" applyFont="1" applyFill="1" applyBorder="1" applyAlignment="1">
      <alignment horizontal="center" vertical="center" wrapText="1"/>
    </xf>
    <xf numFmtId="166" fontId="4" fillId="0" borderId="22" xfId="2" applyNumberFormat="1" applyFont="1" applyFill="1" applyBorder="1" applyAlignment="1">
      <alignment horizontal="center" vertical="center" wrapText="1"/>
    </xf>
    <xf numFmtId="176" fontId="4" fillId="30" borderId="22" xfId="1" applyNumberFormat="1" applyFont="1" applyFill="1" applyBorder="1" applyAlignment="1">
      <alignment horizontal="center"/>
    </xf>
    <xf numFmtId="176" fontId="4" fillId="30" borderId="22" xfId="3" applyNumberFormat="1" applyFont="1" applyFill="1" applyBorder="1"/>
    <xf numFmtId="176" fontId="4" fillId="30" borderId="22" xfId="2" applyNumberFormat="1" applyFont="1" applyFill="1" applyBorder="1" applyAlignment="1">
      <alignment horizontal="right"/>
    </xf>
    <xf numFmtId="176" fontId="4" fillId="30" borderId="22" xfId="4" applyNumberFormat="1" applyFont="1" applyFill="1" applyBorder="1"/>
    <xf numFmtId="175" fontId="7" fillId="30" borderId="22" xfId="0" applyNumberFormat="1" applyFont="1" applyFill="1" applyBorder="1"/>
    <xf numFmtId="176" fontId="4" fillId="30" borderId="22" xfId="1" applyNumberFormat="1" applyFont="1" applyFill="1" applyBorder="1"/>
    <xf numFmtId="0" fontId="4" fillId="5" borderId="0" xfId="1" applyFont="1" applyFill="1"/>
    <xf numFmtId="0" fontId="9" fillId="0" borderId="22" xfId="0" applyFont="1" applyBorder="1"/>
    <xf numFmtId="0" fontId="2" fillId="0" borderId="22" xfId="1" applyFont="1" applyBorder="1" applyAlignment="1">
      <alignment horizontal="right"/>
    </xf>
    <xf numFmtId="0" fontId="4" fillId="2" borderId="0" xfId="1" applyFont="1" applyFill="1"/>
    <xf numFmtId="0" fontId="14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167" fontId="4" fillId="0" borderId="22" xfId="2" applyNumberFormat="1" applyFont="1" applyFill="1" applyBorder="1" applyAlignment="1">
      <alignment horizontal="center" vertical="center"/>
    </xf>
    <xf numFmtId="167" fontId="5" fillId="0" borderId="22" xfId="2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167" fontId="4" fillId="0" borderId="22" xfId="2" applyNumberFormat="1" applyFont="1" applyFill="1" applyBorder="1" applyAlignment="1" applyProtection="1">
      <alignment vertical="top"/>
      <protection locked="0"/>
    </xf>
    <xf numFmtId="170" fontId="4" fillId="0" borderId="22" xfId="11" applyNumberFormat="1" applyFont="1" applyFill="1" applyBorder="1" applyAlignment="1">
      <alignment horizontal="right"/>
    </xf>
    <xf numFmtId="164" fontId="2" fillId="0" borderId="22" xfId="2" applyFont="1" applyFill="1" applyBorder="1" applyAlignment="1">
      <alignment horizontal="right" wrapText="1"/>
    </xf>
    <xf numFmtId="0" fontId="2" fillId="0" borderId="22" xfId="0" applyFont="1" applyBorder="1" applyAlignment="1">
      <alignment horizontal="left"/>
    </xf>
    <xf numFmtId="0" fontId="2" fillId="0" borderId="22" xfId="1" applyFont="1" applyBorder="1" applyAlignment="1">
      <alignment horizontal="left"/>
    </xf>
    <xf numFmtId="0" fontId="21" fillId="0" borderId="47" xfId="1" applyFont="1" applyBorder="1"/>
    <xf numFmtId="0" fontId="21" fillId="0" borderId="14" xfId="1" applyFont="1" applyBorder="1"/>
    <xf numFmtId="0" fontId="21" fillId="0" borderId="21" xfId="1" applyFont="1" applyBorder="1"/>
    <xf numFmtId="167" fontId="2" fillId="0" borderId="62" xfId="10" applyNumberFormat="1" applyFont="1" applyFill="1" applyBorder="1" applyAlignment="1" applyProtection="1">
      <alignment vertical="top"/>
      <protection locked="0"/>
    </xf>
    <xf numFmtId="167" fontId="2" fillId="0" borderId="0" xfId="2" applyNumberFormat="1" applyFont="1" applyFill="1" applyAlignment="1" applyProtection="1">
      <alignment horizontal="left" vertical="top"/>
      <protection locked="0"/>
    </xf>
    <xf numFmtId="167" fontId="22" fillId="0" borderId="0" xfId="2" applyNumberFormat="1" applyFont="1" applyFill="1" applyAlignment="1">
      <alignment horizontal="left"/>
    </xf>
    <xf numFmtId="176" fontId="4" fillId="30" borderId="22" xfId="0" applyNumberFormat="1" applyFont="1" applyFill="1" applyBorder="1"/>
    <xf numFmtId="167" fontId="21" fillId="0" borderId="0" xfId="2" applyNumberFormat="1" applyFont="1" applyFill="1" applyBorder="1" applyAlignment="1"/>
    <xf numFmtId="0" fontId="69" fillId="0" borderId="22" xfId="1" applyFont="1" applyBorder="1"/>
    <xf numFmtId="164" fontId="4" fillId="0" borderId="22" xfId="2" applyFont="1" applyFill="1" applyBorder="1" applyAlignment="1">
      <alignment horizontal="right" wrapText="1"/>
    </xf>
    <xf numFmtId="0" fontId="2" fillId="0" borderId="26" xfId="1" applyFont="1" applyBorder="1"/>
    <xf numFmtId="0" fontId="22" fillId="0" borderId="0" xfId="1" applyFont="1"/>
    <xf numFmtId="0" fontId="4" fillId="0" borderId="22" xfId="0" applyFont="1" applyBorder="1" applyAlignment="1">
      <alignment vertical="center"/>
    </xf>
    <xf numFmtId="2" fontId="4" fillId="0" borderId="0" xfId="2" applyNumberFormat="1" applyFont="1" applyFill="1" applyBorder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31" borderId="0" xfId="0" applyNumberFormat="1" applyFont="1" applyFill="1" applyAlignment="1">
      <alignment horizontal="right" vertical="center"/>
    </xf>
    <xf numFmtId="2" fontId="7" fillId="32" borderId="0" xfId="0" applyNumberFormat="1" applyFont="1" applyFill="1" applyAlignment="1">
      <alignment horizontal="right" vertical="center"/>
    </xf>
    <xf numFmtId="2" fontId="8" fillId="31" borderId="0" xfId="0" applyNumberFormat="1" applyFont="1" applyFill="1" applyAlignment="1">
      <alignment horizontal="right" vertical="center" wrapText="1"/>
    </xf>
    <xf numFmtId="2" fontId="8" fillId="32" borderId="0" xfId="0" applyNumberFormat="1" applyFont="1" applyFill="1" applyAlignment="1">
      <alignment horizontal="right" vertical="center" wrapText="1"/>
    </xf>
    <xf numFmtId="2" fontId="7" fillId="33" borderId="0" xfId="0" applyNumberFormat="1" applyFont="1" applyFill="1" applyAlignment="1">
      <alignment horizontal="right" vertical="center"/>
    </xf>
    <xf numFmtId="2" fontId="7" fillId="34" borderId="0" xfId="0" applyNumberFormat="1" applyFont="1" applyFill="1" applyAlignment="1">
      <alignment horizontal="right" vertical="center"/>
    </xf>
    <xf numFmtId="2" fontId="7" fillId="32" borderId="0" xfId="0" applyNumberFormat="1" applyFont="1" applyFill="1" applyAlignment="1">
      <alignment horizontal="right"/>
    </xf>
    <xf numFmtId="2" fontId="7" fillId="0" borderId="0" xfId="0" applyNumberFormat="1" applyFont="1" applyAlignment="1">
      <alignment horizontal="right" wrapText="1"/>
    </xf>
    <xf numFmtId="2" fontId="10" fillId="0" borderId="0" xfId="0" applyNumberFormat="1" applyFont="1" applyAlignment="1">
      <alignment horizontal="right"/>
    </xf>
    <xf numFmtId="0" fontId="21" fillId="0" borderId="91" xfId="1" applyFont="1" applyBorder="1"/>
    <xf numFmtId="0" fontId="21" fillId="0" borderId="92" xfId="1" applyFont="1" applyBorder="1"/>
    <xf numFmtId="3" fontId="4" fillId="0" borderId="78" xfId="9" applyNumberFormat="1" applyFont="1" applyBorder="1" applyAlignment="1" applyProtection="1">
      <alignment horizontal="center" vertical="top"/>
      <protection locked="0"/>
    </xf>
    <xf numFmtId="3" fontId="4" fillId="0" borderId="47" xfId="9" applyNumberFormat="1" applyFont="1" applyBorder="1" applyProtection="1">
      <alignment vertical="top"/>
      <protection locked="0"/>
    </xf>
    <xf numFmtId="3" fontId="68" fillId="0" borderId="0" xfId="9" applyNumberFormat="1" applyFont="1" applyProtection="1">
      <alignment vertical="top"/>
      <protection locked="0"/>
    </xf>
    <xf numFmtId="3" fontId="68" fillId="0" borderId="47" xfId="9" applyNumberFormat="1" applyFont="1" applyBorder="1" applyProtection="1">
      <alignment vertical="top"/>
      <protection locked="0"/>
    </xf>
    <xf numFmtId="0" fontId="31" fillId="0" borderId="47" xfId="0" applyFont="1" applyBorder="1"/>
    <xf numFmtId="4" fontId="4" fillId="0" borderId="0" xfId="9" applyNumberFormat="1" applyFont="1" applyProtection="1">
      <alignment vertical="top"/>
      <protection locked="0"/>
    </xf>
    <xf numFmtId="1" fontId="4" fillId="0" borderId="0" xfId="9" applyNumberFormat="1" applyFont="1" applyProtection="1">
      <alignment vertical="top"/>
      <protection locked="0"/>
    </xf>
    <xf numFmtId="4" fontId="4" fillId="0" borderId="47" xfId="9" applyNumberFormat="1" applyFont="1" applyBorder="1" applyProtection="1">
      <alignment vertical="top"/>
      <protection locked="0"/>
    </xf>
    <xf numFmtId="3" fontId="4" fillId="0" borderId="14" xfId="9" applyNumberFormat="1" applyFont="1" applyBorder="1" applyProtection="1">
      <alignment vertical="top"/>
      <protection locked="0"/>
    </xf>
    <xf numFmtId="3" fontId="4" fillId="0" borderId="21" xfId="9" applyNumberFormat="1" applyFont="1" applyBorder="1" applyProtection="1">
      <alignment vertical="top"/>
      <protection locked="0"/>
    </xf>
    <xf numFmtId="0" fontId="22" fillId="0" borderId="47" xfId="1" applyFont="1" applyBorder="1"/>
    <xf numFmtId="3" fontId="4" fillId="0" borderId="83" xfId="9" applyNumberFormat="1" applyFont="1" applyBorder="1" applyAlignment="1" applyProtection="1">
      <alignment horizontal="center" vertical="top"/>
      <protection locked="0"/>
    </xf>
    <xf numFmtId="2" fontId="4" fillId="0" borderId="47" xfId="2" applyNumberFormat="1" applyFont="1" applyFill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4" fillId="0" borderId="7" xfId="1" applyNumberFormat="1" applyFont="1" applyBorder="1" applyAlignment="1">
      <alignment horizontal="right" vertical="center"/>
    </xf>
    <xf numFmtId="2" fontId="4" fillId="0" borderId="12" xfId="1" applyNumberFormat="1" applyFont="1" applyBorder="1" applyAlignment="1">
      <alignment horizontal="right" vertical="center"/>
    </xf>
    <xf numFmtId="2" fontId="4" fillId="0" borderId="14" xfId="1" applyNumberFormat="1" applyFont="1" applyBorder="1" applyAlignment="1">
      <alignment horizontal="right" vertical="center"/>
    </xf>
    <xf numFmtId="2" fontId="4" fillId="0" borderId="78" xfId="8" applyNumberFormat="1" applyFont="1" applyBorder="1" applyAlignment="1" applyProtection="1">
      <alignment horizontal="right" vertical="center"/>
      <protection locked="0"/>
    </xf>
    <xf numFmtId="2" fontId="4" fillId="0" borderId="0" xfId="8" applyNumberFormat="1" applyFont="1" applyAlignment="1" applyProtection="1">
      <alignment horizontal="right" vertical="center"/>
      <protection locked="0"/>
    </xf>
    <xf numFmtId="2" fontId="4" fillId="0" borderId="47" xfId="8" applyNumberFormat="1" applyFont="1" applyBorder="1" applyAlignment="1" applyProtection="1">
      <alignment horizontal="right" vertical="center"/>
      <protection locked="0"/>
    </xf>
    <xf numFmtId="2" fontId="4" fillId="0" borderId="0" xfId="8" applyNumberFormat="1" applyFont="1" applyAlignment="1">
      <alignment horizontal="right" vertical="center"/>
    </xf>
    <xf numFmtId="2" fontId="4" fillId="0" borderId="47" xfId="8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horizontal="right" vertical="center"/>
    </xf>
    <xf numFmtId="2" fontId="7" fillId="0" borderId="47" xfId="0" applyNumberFormat="1" applyFont="1" applyBorder="1" applyAlignment="1">
      <alignment horizontal="right" vertical="center"/>
    </xf>
    <xf numFmtId="2" fontId="8" fillId="0" borderId="7" xfId="0" applyNumberFormat="1" applyFont="1" applyBorder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2" fontId="8" fillId="0" borderId="47" xfId="0" applyNumberFormat="1" applyFont="1" applyBorder="1" applyAlignment="1">
      <alignment horizontal="right" vertical="center" wrapText="1"/>
    </xf>
    <xf numFmtId="2" fontId="4" fillId="0" borderId="0" xfId="13" applyNumberFormat="1" applyFont="1" applyAlignment="1">
      <alignment horizontal="right" vertical="center"/>
    </xf>
    <xf numFmtId="2" fontId="4" fillId="0" borderId="47" xfId="13" applyNumberFormat="1" applyFont="1" applyBorder="1" applyAlignment="1">
      <alignment horizontal="right" vertical="center"/>
    </xf>
    <xf numFmtId="2" fontId="4" fillId="0" borderId="14" xfId="8" applyNumberFormat="1" applyFont="1" applyBorder="1" applyAlignment="1" applyProtection="1">
      <alignment horizontal="right" vertical="center"/>
      <protection locked="0"/>
    </xf>
    <xf numFmtId="2" fontId="4" fillId="0" borderId="21" xfId="8" applyNumberFormat="1" applyFont="1" applyBorder="1" applyAlignment="1" applyProtection="1">
      <alignment horizontal="right" vertical="center"/>
      <protection locked="0"/>
    </xf>
    <xf numFmtId="0" fontId="2" fillId="0" borderId="0" xfId="1" applyFont="1" applyAlignment="1">
      <alignment horizontal="center"/>
    </xf>
    <xf numFmtId="9" fontId="2" fillId="0" borderId="22" xfId="6" applyFont="1" applyFill="1" applyBorder="1" applyAlignment="1">
      <alignment horizontal="left" vertical="center"/>
    </xf>
    <xf numFmtId="0" fontId="71" fillId="0" borderId="0" xfId="951" applyAlignment="1">
      <alignment horizontal="center"/>
    </xf>
    <xf numFmtId="0" fontId="71" fillId="0" borderId="0" xfId="951"/>
    <xf numFmtId="165" fontId="0" fillId="0" borderId="88" xfId="4" applyFont="1" applyBorder="1"/>
    <xf numFmtId="170" fontId="0" fillId="0" borderId="88" xfId="4" applyNumberFormat="1" applyFont="1" applyBorder="1"/>
    <xf numFmtId="0" fontId="71" fillId="0" borderId="88" xfId="951" applyBorder="1" applyAlignment="1">
      <alignment horizontal="center"/>
    </xf>
    <xf numFmtId="0" fontId="71" fillId="0" borderId="11" xfId="951" applyBorder="1" applyAlignment="1">
      <alignment horizontal="center"/>
    </xf>
    <xf numFmtId="170" fontId="0" fillId="0" borderId="93" xfId="4" applyNumberFormat="1" applyFont="1" applyBorder="1"/>
    <xf numFmtId="0" fontId="71" fillId="0" borderId="5" xfId="951" applyBorder="1" applyAlignment="1">
      <alignment horizontal="center"/>
    </xf>
    <xf numFmtId="0" fontId="44" fillId="0" borderId="0" xfId="951" applyFont="1"/>
    <xf numFmtId="164" fontId="4" fillId="36" borderId="22" xfId="2" applyFont="1" applyFill="1" applyBorder="1" applyAlignment="1">
      <alignment horizontal="right"/>
    </xf>
    <xf numFmtId="175" fontId="4" fillId="36" borderId="22" xfId="6" applyNumberFormat="1" applyFont="1" applyFill="1" applyBorder="1" applyAlignment="1">
      <alignment horizontal="right"/>
    </xf>
    <xf numFmtId="175" fontId="4" fillId="36" borderId="22" xfId="2" applyNumberFormat="1" applyFont="1" applyFill="1" applyBorder="1" applyAlignment="1">
      <alignment horizontal="right"/>
    </xf>
    <xf numFmtId="176" fontId="4" fillId="36" borderId="22" xfId="3" applyNumberFormat="1" applyFont="1" applyFill="1" applyBorder="1"/>
    <xf numFmtId="175" fontId="4" fillId="36" borderId="22" xfId="6" applyNumberFormat="1" applyFont="1" applyFill="1" applyBorder="1"/>
    <xf numFmtId="175" fontId="4" fillId="36" borderId="22" xfId="3" applyNumberFormat="1" applyFont="1" applyFill="1" applyBorder="1"/>
    <xf numFmtId="175" fontId="4" fillId="36" borderId="22" xfId="1" applyNumberFormat="1" applyFont="1" applyFill="1" applyBorder="1"/>
    <xf numFmtId="176" fontId="4" fillId="36" borderId="22" xfId="4" applyNumberFormat="1" applyFont="1" applyFill="1" applyBorder="1"/>
    <xf numFmtId="175" fontId="4" fillId="36" borderId="22" xfId="6" applyNumberFormat="1" applyFont="1" applyFill="1" applyBorder="1" applyAlignment="1">
      <alignment horizontal="center"/>
    </xf>
    <xf numFmtId="175" fontId="4" fillId="36" borderId="22" xfId="1" applyNumberFormat="1" applyFont="1" applyFill="1" applyBorder="1" applyAlignment="1">
      <alignment horizontal="center"/>
    </xf>
    <xf numFmtId="176" fontId="4" fillId="36" borderId="22" xfId="1" applyNumberFormat="1" applyFont="1" applyFill="1" applyBorder="1" applyAlignment="1">
      <alignment horizontal="center"/>
    </xf>
    <xf numFmtId="0" fontId="4" fillId="36" borderId="0" xfId="1" applyFont="1" applyFill="1"/>
    <xf numFmtId="0" fontId="7" fillId="0" borderId="89" xfId="0" applyFont="1" applyBorder="1"/>
    <xf numFmtId="0" fontId="2" fillId="6" borderId="0" xfId="1" applyFont="1" applyFill="1" applyAlignment="1">
      <alignment horizontal="left" vertical="center"/>
    </xf>
    <xf numFmtId="0" fontId="2" fillId="5" borderId="0" xfId="1" applyFont="1" applyFill="1" applyAlignment="1">
      <alignment horizontal="left" vertical="center"/>
    </xf>
    <xf numFmtId="165" fontId="9" fillId="0" borderId="78" xfId="4" applyFont="1" applyBorder="1" applyAlignment="1">
      <alignment horizontal="center" vertical="center"/>
    </xf>
    <xf numFmtId="165" fontId="7" fillId="0" borderId="23" xfId="4" applyFont="1" applyBorder="1"/>
    <xf numFmtId="165" fontId="7" fillId="0" borderId="22" xfId="4" applyFont="1" applyBorder="1"/>
    <xf numFmtId="165" fontId="7" fillId="0" borderId="0" xfId="4" applyFont="1"/>
    <xf numFmtId="165" fontId="7" fillId="0" borderId="26" xfId="4" applyFont="1" applyBorder="1"/>
    <xf numFmtId="170" fontId="0" fillId="0" borderId="0" xfId="4" applyNumberFormat="1" applyFont="1" applyFill="1"/>
    <xf numFmtId="0" fontId="0" fillId="0" borderId="0" xfId="951" applyFont="1" applyAlignment="1">
      <alignment vertical="top" wrapText="1"/>
    </xf>
    <xf numFmtId="0" fontId="0" fillId="0" borderId="7" xfId="951" applyFont="1" applyBorder="1" applyAlignment="1">
      <alignment vertical="top" wrapText="1"/>
    </xf>
    <xf numFmtId="0" fontId="73" fillId="6" borderId="0" xfId="951" applyFont="1" applyFill="1" applyAlignment="1">
      <alignment wrapText="1"/>
    </xf>
    <xf numFmtId="0" fontId="0" fillId="6" borderId="0" xfId="951" applyFont="1" applyFill="1" applyAlignment="1">
      <alignment wrapText="1"/>
    </xf>
    <xf numFmtId="0" fontId="0" fillId="6" borderId="0" xfId="951" applyFont="1" applyFill="1" applyAlignment="1">
      <alignment vertical="center"/>
    </xf>
    <xf numFmtId="170" fontId="4" fillId="0" borderId="0" xfId="4" applyNumberFormat="1" applyFont="1" applyFill="1"/>
    <xf numFmtId="170" fontId="4" fillId="0" borderId="0" xfId="4" applyNumberFormat="1" applyFont="1" applyFill="1" applyBorder="1" applyAlignment="1">
      <alignment horizontal="left" vertical="top"/>
    </xf>
    <xf numFmtId="170" fontId="4" fillId="0" borderId="15" xfId="4" applyNumberFormat="1" applyFont="1" applyFill="1" applyBorder="1" applyAlignment="1">
      <alignment horizontal="center" vertical="center" wrapText="1"/>
    </xf>
    <xf numFmtId="170" fontId="4" fillId="0" borderId="45" xfId="4" applyNumberFormat="1" applyFont="1" applyFill="1" applyBorder="1" applyAlignment="1">
      <alignment horizontal="center" vertical="center" wrapText="1"/>
    </xf>
    <xf numFmtId="170" fontId="4" fillId="0" borderId="23" xfId="4" applyNumberFormat="1" applyFont="1" applyFill="1" applyBorder="1" applyAlignment="1">
      <alignment horizontal="center" vertical="center" wrapText="1"/>
    </xf>
    <xf numFmtId="170" fontId="4" fillId="0" borderId="22" xfId="4" applyNumberFormat="1" applyFont="1" applyFill="1" applyBorder="1" applyAlignment="1">
      <alignment horizontal="center" vertical="center" wrapText="1"/>
    </xf>
    <xf numFmtId="170" fontId="4" fillId="36" borderId="22" xfId="4" applyNumberFormat="1" applyFont="1" applyFill="1" applyBorder="1" applyAlignment="1">
      <alignment horizontal="center"/>
    </xf>
    <xf numFmtId="170" fontId="7" fillId="6" borderId="23" xfId="4" applyNumberFormat="1" applyFont="1" applyFill="1" applyBorder="1"/>
    <xf numFmtId="170" fontId="4" fillId="0" borderId="22" xfId="4" applyNumberFormat="1" applyFont="1" applyFill="1" applyBorder="1" applyAlignment="1">
      <alignment horizontal="center"/>
    </xf>
    <xf numFmtId="170" fontId="7" fillId="0" borderId="23" xfId="4" applyNumberFormat="1" applyFont="1" applyFill="1" applyBorder="1"/>
    <xf numFmtId="0" fontId="4" fillId="0" borderId="23" xfId="1" applyFont="1" applyBorder="1" applyAlignment="1">
      <alignment horizontal="center" vertical="center"/>
    </xf>
    <xf numFmtId="170" fontId="4" fillId="6" borderId="0" xfId="4" applyNumberFormat="1" applyFont="1" applyFill="1"/>
    <xf numFmtId="175" fontId="4" fillId="6" borderId="0" xfId="6" applyNumberFormat="1" applyFont="1" applyFill="1"/>
    <xf numFmtId="170" fontId="4" fillId="5" borderId="0" xfId="4" applyNumberFormat="1" applyFont="1" applyFill="1"/>
    <xf numFmtId="175" fontId="4" fillId="5" borderId="0" xfId="6" applyNumberFormat="1" applyFont="1" applyFill="1"/>
    <xf numFmtId="170" fontId="0" fillId="0" borderId="88" xfId="4" applyNumberFormat="1" applyFont="1" applyFill="1" applyBorder="1"/>
    <xf numFmtId="170" fontId="0" fillId="0" borderId="11" xfId="4" applyNumberFormat="1" applyFont="1" applyFill="1" applyBorder="1"/>
    <xf numFmtId="170" fontId="0" fillId="0" borderId="65" xfId="4" applyNumberFormat="1" applyFont="1" applyFill="1" applyBorder="1"/>
    <xf numFmtId="0" fontId="9" fillId="0" borderId="0" xfId="0" applyFont="1" applyAlignment="1">
      <alignment horizontal="center"/>
    </xf>
    <xf numFmtId="174" fontId="9" fillId="0" borderId="0" xfId="4" applyNumberFormat="1" applyFont="1" applyBorder="1" applyAlignment="1">
      <alignment horizontal="center"/>
    </xf>
    <xf numFmtId="164" fontId="4" fillId="0" borderId="0" xfId="2" applyFont="1" applyFill="1" applyBorder="1" applyAlignment="1">
      <alignment horizontal="right"/>
    </xf>
    <xf numFmtId="0" fontId="7" fillId="37" borderId="78" xfId="0" applyFont="1" applyFill="1" applyBorder="1" applyAlignment="1">
      <alignment horizontal="right" vertical="center"/>
    </xf>
    <xf numFmtId="0" fontId="7" fillId="37" borderId="78" xfId="0" applyFont="1" applyFill="1" applyBorder="1"/>
    <xf numFmtId="0" fontId="2" fillId="6" borderId="78" xfId="1" applyFont="1" applyFill="1" applyBorder="1" applyAlignment="1">
      <alignment horizontal="left" vertical="center"/>
    </xf>
    <xf numFmtId="0" fontId="2" fillId="5" borderId="78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22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70" fontId="7" fillId="0" borderId="22" xfId="5" applyNumberFormat="1" applyFont="1" applyBorder="1" applyAlignment="1">
      <alignment vertical="center"/>
    </xf>
    <xf numFmtId="170" fontId="7" fillId="0" borderId="22" xfId="4" applyNumberFormat="1" applyFont="1" applyBorder="1" applyAlignment="1">
      <alignment vertical="center"/>
    </xf>
    <xf numFmtId="0" fontId="4" fillId="0" borderId="26" xfId="0" applyFont="1" applyBorder="1"/>
    <xf numFmtId="1" fontId="4" fillId="0" borderId="0" xfId="1" applyNumberFormat="1" applyFont="1" applyAlignment="1">
      <alignment horizontal="right" vertical="center"/>
    </xf>
    <xf numFmtId="1" fontId="4" fillId="0" borderId="7" xfId="1" applyNumberFormat="1" applyFont="1" applyBorder="1" applyAlignment="1">
      <alignment horizontal="right" vertical="center"/>
    </xf>
    <xf numFmtId="1" fontId="4" fillId="0" borderId="12" xfId="1" applyNumberFormat="1" applyFont="1" applyBorder="1" applyAlignment="1">
      <alignment horizontal="right" vertical="center"/>
    </xf>
    <xf numFmtId="1" fontId="4" fillId="0" borderId="78" xfId="8" applyNumberFormat="1" applyFont="1" applyBorder="1" applyAlignment="1" applyProtection="1">
      <alignment horizontal="right" vertical="center"/>
      <protection locked="0"/>
    </xf>
    <xf numFmtId="1" fontId="4" fillId="0" borderId="7" xfId="8" applyNumberFormat="1" applyFont="1" applyBorder="1" applyAlignment="1" applyProtection="1">
      <alignment horizontal="right" vertical="center"/>
      <protection locked="0"/>
    </xf>
    <xf numFmtId="1" fontId="4" fillId="0" borderId="7" xfId="8" applyNumberFormat="1" applyFont="1" applyBorder="1" applyAlignment="1">
      <alignment horizontal="right" vertical="center"/>
    </xf>
    <xf numFmtId="1" fontId="7" fillId="0" borderId="7" xfId="0" applyNumberFormat="1" applyFont="1" applyBorder="1" applyAlignment="1">
      <alignment horizontal="right" vertical="center"/>
    </xf>
    <xf numFmtId="1" fontId="8" fillId="0" borderId="7" xfId="0" applyNumberFormat="1" applyFont="1" applyBorder="1" applyAlignment="1">
      <alignment horizontal="right" vertical="center" wrapText="1"/>
    </xf>
    <xf numFmtId="1" fontId="4" fillId="0" borderId="12" xfId="8" applyNumberFormat="1" applyFont="1" applyBorder="1" applyAlignment="1" applyProtection="1">
      <alignment horizontal="right" vertical="center"/>
      <protection locked="0"/>
    </xf>
    <xf numFmtId="1" fontId="4" fillId="0" borderId="0" xfId="8" applyNumberFormat="1" applyFont="1" applyAlignment="1" applyProtection="1">
      <alignment horizontal="right" vertical="center"/>
      <protection locked="0"/>
    </xf>
    <xf numFmtId="1" fontId="4" fillId="0" borderId="0" xfId="8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right" vertical="center" wrapText="1"/>
    </xf>
    <xf numFmtId="1" fontId="4" fillId="0" borderId="0" xfId="2" applyNumberFormat="1" applyFont="1" applyFill="1" applyBorder="1" applyAlignment="1">
      <alignment horizontal="right" vertical="center"/>
    </xf>
    <xf numFmtId="1" fontId="4" fillId="0" borderId="0" xfId="13" applyNumberFormat="1" applyFont="1" applyAlignment="1">
      <alignment horizontal="right" vertical="center"/>
    </xf>
    <xf numFmtId="1" fontId="4" fillId="0" borderId="14" xfId="8" applyNumberFormat="1" applyFont="1" applyBorder="1" applyAlignment="1" applyProtection="1">
      <alignment horizontal="right" vertical="center"/>
      <protection locked="0"/>
    </xf>
    <xf numFmtId="174" fontId="9" fillId="0" borderId="0" xfId="4" applyNumberFormat="1" applyFont="1" applyFill="1" applyBorder="1" applyAlignment="1">
      <alignment horizontal="center"/>
    </xf>
    <xf numFmtId="174" fontId="7" fillId="0" borderId="0" xfId="4" applyNumberFormat="1" applyFont="1" applyFill="1" applyBorder="1"/>
    <xf numFmtId="0" fontId="2" fillId="0" borderId="30" xfId="1" applyFont="1" applyBorder="1" applyAlignment="1">
      <alignment horizontal="left"/>
    </xf>
    <xf numFmtId="0" fontId="2" fillId="0" borderId="30" xfId="1" applyFont="1" applyBorder="1" applyAlignment="1">
      <alignment horizontal="right"/>
    </xf>
    <xf numFmtId="0" fontId="2" fillId="0" borderId="25" xfId="1" applyFont="1" applyBorder="1"/>
    <xf numFmtId="172" fontId="40" fillId="36" borderId="66" xfId="2" applyNumberFormat="1" applyFont="1" applyFill="1" applyBorder="1"/>
    <xf numFmtId="172" fontId="40" fillId="36" borderId="66" xfId="2" applyNumberFormat="1" applyFont="1" applyFill="1" applyBorder="1" applyAlignment="1">
      <alignment horizontal="center" vertical="center"/>
    </xf>
    <xf numFmtId="172" fontId="40" fillId="36" borderId="67" xfId="2" applyNumberFormat="1" applyFont="1" applyFill="1" applyBorder="1"/>
    <xf numFmtId="172" fontId="40" fillId="36" borderId="67" xfId="2" applyNumberFormat="1" applyFont="1" applyFill="1" applyBorder="1" applyAlignment="1">
      <alignment horizontal="center" vertical="center"/>
    </xf>
    <xf numFmtId="0" fontId="40" fillId="36" borderId="16" xfId="13" applyFont="1" applyFill="1" applyBorder="1"/>
    <xf numFmtId="170" fontId="40" fillId="36" borderId="16" xfId="11" applyNumberFormat="1" applyFont="1" applyFill="1" applyBorder="1" applyAlignment="1">
      <alignment horizontal="right"/>
    </xf>
    <xf numFmtId="172" fontId="40" fillId="36" borderId="16" xfId="2" applyNumberFormat="1" applyFont="1" applyFill="1" applyBorder="1"/>
    <xf numFmtId="167" fontId="40" fillId="36" borderId="16" xfId="2" applyNumberFormat="1" applyFont="1" applyFill="1" applyBorder="1"/>
    <xf numFmtId="172" fontId="40" fillId="36" borderId="16" xfId="2" quotePrefix="1" applyNumberFormat="1" applyFont="1" applyFill="1" applyBorder="1" applyAlignment="1">
      <alignment horizontal="center"/>
    </xf>
    <xf numFmtId="172" fontId="40" fillId="36" borderId="16" xfId="2" applyNumberFormat="1" applyFont="1" applyFill="1" applyBorder="1" applyAlignment="1">
      <alignment horizontal="center"/>
    </xf>
    <xf numFmtId="173" fontId="40" fillId="36" borderId="16" xfId="11" applyNumberFormat="1" applyFont="1" applyFill="1" applyBorder="1" applyAlignment="1">
      <alignment horizontal="right"/>
    </xf>
    <xf numFmtId="0" fontId="40" fillId="36" borderId="16" xfId="13" applyFont="1" applyFill="1" applyBorder="1" applyAlignment="1">
      <alignment horizontal="right"/>
    </xf>
    <xf numFmtId="172" fontId="40" fillId="36" borderId="16" xfId="13" applyNumberFormat="1" applyFont="1" applyFill="1" applyBorder="1" applyAlignment="1">
      <alignment horizontal="right"/>
    </xf>
    <xf numFmtId="0" fontId="13" fillId="36" borderId="0" xfId="0" applyFont="1" applyFill="1"/>
    <xf numFmtId="0" fontId="74" fillId="36" borderId="0" xfId="0" applyFont="1" applyFill="1"/>
    <xf numFmtId="0" fontId="13" fillId="36" borderId="94" xfId="0" applyFont="1" applyFill="1" applyBorder="1"/>
    <xf numFmtId="172" fontId="75" fillId="36" borderId="16" xfId="2" applyNumberFormat="1" applyFont="1" applyFill="1" applyBorder="1"/>
    <xf numFmtId="0" fontId="1" fillId="36" borderId="0" xfId="13" applyFill="1"/>
    <xf numFmtId="0" fontId="39" fillId="36" borderId="0" xfId="13" applyFont="1" applyFill="1"/>
    <xf numFmtId="0" fontId="1" fillId="36" borderId="94" xfId="13" applyFill="1" applyBorder="1"/>
    <xf numFmtId="167" fontId="40" fillId="36" borderId="16" xfId="2" applyNumberFormat="1" applyFont="1" applyFill="1" applyBorder="1" applyAlignment="1"/>
    <xf numFmtId="172" fontId="75" fillId="36" borderId="16" xfId="2" applyNumberFormat="1" applyFont="1" applyFill="1" applyBorder="1" applyAlignment="1"/>
    <xf numFmtId="172" fontId="40" fillId="36" borderId="16" xfId="2" applyNumberFormat="1" applyFont="1" applyFill="1" applyBorder="1" applyAlignment="1"/>
    <xf numFmtId="172" fontId="40" fillId="36" borderId="16" xfId="13" applyNumberFormat="1" applyFont="1" applyFill="1" applyBorder="1"/>
    <xf numFmtId="172" fontId="40" fillId="2" borderId="66" xfId="2" applyNumberFormat="1" applyFont="1" applyFill="1" applyBorder="1" applyAlignment="1">
      <alignment horizontal="center" vertical="center"/>
    </xf>
    <xf numFmtId="172" fontId="40" fillId="2" borderId="67" xfId="2" applyNumberFormat="1" applyFont="1" applyFill="1" applyBorder="1" applyAlignment="1">
      <alignment horizontal="center" vertical="center"/>
    </xf>
    <xf numFmtId="167" fontId="40" fillId="2" borderId="16" xfId="2" applyNumberFormat="1" applyFont="1" applyFill="1" applyBorder="1" applyAlignment="1"/>
    <xf numFmtId="167" fontId="41" fillId="2" borderId="16" xfId="13" applyNumberFormat="1" applyFont="1" applyFill="1" applyBorder="1"/>
    <xf numFmtId="167" fontId="40" fillId="2" borderId="16" xfId="2" applyNumberFormat="1" applyFont="1" applyFill="1" applyBorder="1"/>
    <xf numFmtId="167" fontId="41" fillId="2" borderId="16" xfId="13" applyNumberFormat="1" applyFont="1" applyFill="1" applyBorder="1" applyAlignment="1">
      <alignment horizontal="right"/>
    </xf>
    <xf numFmtId="0" fontId="40" fillId="0" borderId="0" xfId="13" applyFont="1"/>
    <xf numFmtId="0" fontId="40" fillId="36" borderId="66" xfId="0" applyFont="1" applyFill="1" applyBorder="1" applyAlignment="1">
      <alignment horizontal="center" vertical="center" wrapText="1"/>
    </xf>
    <xf numFmtId="0" fontId="40" fillId="36" borderId="67" xfId="0" applyFont="1" applyFill="1" applyBorder="1" applyAlignment="1">
      <alignment horizontal="center" vertical="center" wrapText="1"/>
    </xf>
    <xf numFmtId="0" fontId="40" fillId="36" borderId="16" xfId="0" quotePrefix="1" applyFont="1" applyFill="1" applyBorder="1" applyAlignment="1">
      <alignment horizontal="center" vertical="center"/>
    </xf>
    <xf numFmtId="0" fontId="40" fillId="36" borderId="16" xfId="0" applyFont="1" applyFill="1" applyBorder="1" applyAlignment="1">
      <alignment horizontal="center" vertical="center"/>
    </xf>
    <xf numFmtId="0" fontId="40" fillId="36" borderId="16" xfId="0" applyFont="1" applyFill="1" applyBorder="1"/>
    <xf numFmtId="164" fontId="40" fillId="36" borderId="16" xfId="13" applyNumberFormat="1" applyFont="1" applyFill="1" applyBorder="1"/>
    <xf numFmtId="0" fontId="40" fillId="36" borderId="0" xfId="13" applyFont="1" applyFill="1"/>
    <xf numFmtId="167" fontId="40" fillId="36" borderId="0" xfId="13" applyNumberFormat="1" applyFont="1" applyFill="1"/>
    <xf numFmtId="0" fontId="41" fillId="36" borderId="0" xfId="13" applyFont="1" applyFill="1" applyAlignment="1">
      <alignment horizontal="right"/>
    </xf>
    <xf numFmtId="164" fontId="41" fillId="36" borderId="0" xfId="13" applyNumberFormat="1" applyFont="1" applyFill="1"/>
    <xf numFmtId="0" fontId="41" fillId="36" borderId="0" xfId="13" applyFont="1" applyFill="1" applyAlignment="1">
      <alignment horizontal="left"/>
    </xf>
    <xf numFmtId="0" fontId="76" fillId="36" borderId="0" xfId="0" applyFont="1" applyFill="1"/>
    <xf numFmtId="0" fontId="39" fillId="0" borderId="0" xfId="0" applyFont="1" applyAlignment="1">
      <alignment vertical="center"/>
    </xf>
    <xf numFmtId="0" fontId="41" fillId="36" borderId="0" xfId="13" applyFont="1" applyFill="1"/>
    <xf numFmtId="9" fontId="4" fillId="0" borderId="22" xfId="6" applyFont="1" applyFill="1" applyBorder="1" applyAlignment="1">
      <alignment horizontal="left" vertical="center"/>
    </xf>
    <xf numFmtId="165" fontId="7" fillId="38" borderId="22" xfId="4" applyFont="1" applyFill="1" applyBorder="1"/>
    <xf numFmtId="165" fontId="7" fillId="40" borderId="22" xfId="4" applyFont="1" applyFill="1" applyBorder="1"/>
    <xf numFmtId="165" fontId="7" fillId="40" borderId="26" xfId="4" applyFont="1" applyFill="1" applyBorder="1"/>
    <xf numFmtId="170" fontId="70" fillId="35" borderId="0" xfId="4" applyNumberFormat="1" applyFont="1" applyFill="1" applyAlignment="1">
      <alignment horizontal="center" vertical="center"/>
    </xf>
    <xf numFmtId="170" fontId="2" fillId="6" borderId="0" xfId="4" applyNumberFormat="1" applyFont="1" applyFill="1" applyAlignment="1">
      <alignment horizontal="left" vertical="center"/>
    </xf>
    <xf numFmtId="170" fontId="2" fillId="5" borderId="0" xfId="4" applyNumberFormat="1" applyFont="1" applyFill="1" applyAlignment="1">
      <alignment horizontal="left" vertical="center"/>
    </xf>
    <xf numFmtId="170" fontId="2" fillId="0" borderId="0" xfId="4" applyNumberFormat="1" applyFont="1" applyFill="1" applyBorder="1" applyAlignment="1">
      <alignment horizontal="center"/>
    </xf>
    <xf numFmtId="170" fontId="2" fillId="0" borderId="0" xfId="4" applyNumberFormat="1" applyFont="1" applyFill="1"/>
    <xf numFmtId="170" fontId="4" fillId="6" borderId="22" xfId="4" applyNumberFormat="1" applyFont="1" applyFill="1" applyBorder="1" applyAlignment="1">
      <alignment horizontal="right"/>
    </xf>
    <xf numFmtId="170" fontId="4" fillId="0" borderId="22" xfId="4" applyNumberFormat="1" applyFont="1" applyFill="1" applyBorder="1" applyAlignment="1">
      <alignment horizontal="right"/>
    </xf>
    <xf numFmtId="170" fontId="4" fillId="36" borderId="22" xfId="4" applyNumberFormat="1" applyFont="1" applyFill="1" applyBorder="1" applyAlignment="1">
      <alignment horizontal="right"/>
    </xf>
    <xf numFmtId="170" fontId="4" fillId="0" borderId="0" xfId="4" applyNumberFormat="1" applyFont="1"/>
    <xf numFmtId="164" fontId="4" fillId="0" borderId="22" xfId="2" applyFont="1" applyFill="1" applyBorder="1" applyAlignment="1">
      <alignment horizontal="center" vertical="center"/>
    </xf>
    <xf numFmtId="170" fontId="9" fillId="0" borderId="78" xfId="4" applyNumberFormat="1" applyFont="1" applyBorder="1" applyAlignment="1">
      <alignment horizontal="center" vertical="center"/>
    </xf>
    <xf numFmtId="170" fontId="7" fillId="0" borderId="23" xfId="4" applyNumberFormat="1" applyFont="1" applyBorder="1"/>
    <xf numFmtId="170" fontId="7" fillId="0" borderId="22" xfId="4" applyNumberFormat="1" applyFont="1" applyBorder="1"/>
    <xf numFmtId="170" fontId="7" fillId="0" borderId="0" xfId="4" applyNumberFormat="1" applyFont="1"/>
    <xf numFmtId="170" fontId="4" fillId="0" borderId="22" xfId="4" applyNumberFormat="1" applyFont="1" applyBorder="1"/>
    <xf numFmtId="170" fontId="7" fillId="0" borderId="26" xfId="4" applyNumberFormat="1" applyFont="1" applyBorder="1"/>
    <xf numFmtId="170" fontId="7" fillId="37" borderId="78" xfId="4" applyNumberFormat="1" applyFont="1" applyFill="1" applyBorder="1"/>
    <xf numFmtId="170" fontId="7" fillId="0" borderId="78" xfId="4" applyNumberFormat="1" applyFont="1" applyBorder="1"/>
    <xf numFmtId="165" fontId="7" fillId="0" borderId="78" xfId="4" applyFont="1" applyBorder="1"/>
    <xf numFmtId="170" fontId="7" fillId="39" borderId="22" xfId="4" applyNumberFormat="1" applyFont="1" applyFill="1" applyBorder="1"/>
    <xf numFmtId="170" fontId="4" fillId="39" borderId="22" xfId="4" applyNumberFormat="1" applyFont="1" applyFill="1" applyBorder="1"/>
    <xf numFmtId="170" fontId="4" fillId="0" borderId="15" xfId="4" applyNumberFormat="1" applyFont="1" applyFill="1" applyBorder="1" applyAlignment="1" applyProtection="1">
      <alignment horizontal="right" vertical="top"/>
      <protection locked="0"/>
    </xf>
    <xf numFmtId="170" fontId="7" fillId="39" borderId="26" xfId="4" applyNumberFormat="1" applyFont="1" applyFill="1" applyBorder="1"/>
    <xf numFmtId="170" fontId="10" fillId="0" borderId="78" xfId="4" applyNumberFormat="1" applyFont="1" applyBorder="1" applyAlignment="1">
      <alignment horizontal="center" vertical="center"/>
    </xf>
    <xf numFmtId="170" fontId="4" fillId="0" borderId="23" xfId="4" applyNumberFormat="1" applyFont="1" applyBorder="1" applyAlignment="1">
      <alignment horizontal="left"/>
    </xf>
    <xf numFmtId="170" fontId="2" fillId="0" borderId="23" xfId="4" applyNumberFormat="1" applyFont="1" applyBorder="1" applyAlignment="1">
      <alignment horizontal="left"/>
    </xf>
    <xf numFmtId="170" fontId="2" fillId="0" borderId="22" xfId="4" applyNumberFormat="1" applyFont="1" applyBorder="1"/>
    <xf numFmtId="170" fontId="3" fillId="0" borderId="22" xfId="4" applyNumberFormat="1" applyFont="1" applyBorder="1" applyAlignment="1">
      <alignment horizontal="left"/>
    </xf>
    <xf numFmtId="170" fontId="4" fillId="0" borderId="22" xfId="4" applyNumberFormat="1" applyFont="1" applyBorder="1" applyAlignment="1">
      <alignment horizontal="left" vertical="center"/>
    </xf>
    <xf numFmtId="170" fontId="7" fillId="0" borderId="15" xfId="4" applyNumberFormat="1" applyFont="1" applyBorder="1"/>
    <xf numFmtId="170" fontId="3" fillId="0" borderId="22" xfId="4" applyNumberFormat="1" applyFont="1" applyBorder="1"/>
    <xf numFmtId="170" fontId="7" fillId="36" borderId="22" xfId="4" applyNumberFormat="1" applyFont="1" applyFill="1" applyBorder="1"/>
    <xf numFmtId="170" fontId="7" fillId="36" borderId="26" xfId="4" applyNumberFormat="1" applyFont="1" applyFill="1" applyBorder="1"/>
    <xf numFmtId="164" fontId="16" fillId="0" borderId="0" xfId="5" applyFont="1" applyFill="1"/>
    <xf numFmtId="164" fontId="21" fillId="0" borderId="0" xfId="2" applyFont="1" applyFill="1" applyBorder="1" applyAlignment="1"/>
    <xf numFmtId="164" fontId="2" fillId="0" borderId="62" xfId="10" applyNumberFormat="1" applyFont="1" applyFill="1" applyBorder="1" applyAlignment="1" applyProtection="1">
      <alignment vertical="top"/>
      <protection locked="0"/>
    </xf>
    <xf numFmtId="164" fontId="4" fillId="0" borderId="45" xfId="2" applyFont="1" applyFill="1" applyBorder="1" applyAlignment="1" applyProtection="1">
      <alignment horizontal="right" vertical="top"/>
      <protection locked="0"/>
    </xf>
    <xf numFmtId="164" fontId="36" fillId="0" borderId="0" xfId="4" applyNumberFormat="1" applyFont="1" applyFill="1" applyAlignment="1" applyProtection="1">
      <alignment horizontal="right" vertical="top"/>
      <protection locked="0"/>
    </xf>
    <xf numFmtId="164" fontId="36" fillId="0" borderId="0" xfId="4" applyNumberFormat="1" applyFont="1" applyFill="1"/>
    <xf numFmtId="2" fontId="4" fillId="0" borderId="21" xfId="9" applyNumberFormat="1" applyFont="1" applyBorder="1" applyAlignment="1" applyProtection="1">
      <alignment horizontal="right" vertical="center"/>
      <protection locked="0"/>
    </xf>
    <xf numFmtId="2" fontId="4" fillId="0" borderId="14" xfId="9" applyNumberFormat="1" applyFont="1" applyBorder="1" applyAlignment="1" applyProtection="1">
      <alignment horizontal="right" vertical="center"/>
      <protection locked="0"/>
    </xf>
    <xf numFmtId="2" fontId="4" fillId="0" borderId="12" xfId="9" applyNumberFormat="1" applyFont="1" applyBorder="1" applyAlignment="1" applyProtection="1">
      <alignment horizontal="right" vertical="center"/>
      <protection locked="0"/>
    </xf>
    <xf numFmtId="2" fontId="4" fillId="0" borderId="47" xfId="9" applyNumberFormat="1" applyFont="1" applyBorder="1" applyAlignment="1" applyProtection="1">
      <alignment horizontal="right" vertical="center"/>
      <protection locked="0"/>
    </xf>
    <xf numFmtId="2" fontId="4" fillId="0" borderId="0" xfId="9" applyNumberFormat="1" applyFont="1" applyAlignment="1" applyProtection="1">
      <alignment horizontal="right" vertical="center"/>
      <protection locked="0"/>
    </xf>
    <xf numFmtId="2" fontId="4" fillId="0" borderId="7" xfId="9" applyNumberFormat="1" applyFont="1" applyBorder="1" applyAlignment="1" applyProtection="1">
      <alignment horizontal="right" vertical="center"/>
      <protection locked="0"/>
    </xf>
    <xf numFmtId="2" fontId="4" fillId="0" borderId="47" xfId="9" applyNumberFormat="1" applyFont="1" applyBorder="1" applyAlignment="1">
      <alignment horizontal="right" vertical="center"/>
    </xf>
    <xf numFmtId="2" fontId="4" fillId="0" borderId="0" xfId="9" applyNumberFormat="1" applyFont="1" applyAlignment="1">
      <alignment horizontal="right" vertical="center"/>
    </xf>
    <xf numFmtId="2" fontId="4" fillId="0" borderId="7" xfId="9" applyNumberFormat="1" applyFont="1" applyBorder="1" applyAlignment="1">
      <alignment horizontal="right" vertical="center"/>
    </xf>
    <xf numFmtId="170" fontId="4" fillId="36" borderId="0" xfId="4" applyNumberFormat="1" applyFont="1" applyFill="1"/>
    <xf numFmtId="170" fontId="7" fillId="39" borderId="65" xfId="4" applyNumberFormat="1" applyFont="1" applyFill="1" applyBorder="1"/>
    <xf numFmtId="164" fontId="4" fillId="0" borderId="0" xfId="0" applyNumberFormat="1" applyFont="1" applyAlignment="1">
      <alignment horizontal="right" vertical="center"/>
    </xf>
    <xf numFmtId="2" fontId="4" fillId="0" borderId="78" xfId="9" applyNumberFormat="1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center"/>
    </xf>
    <xf numFmtId="167" fontId="4" fillId="0" borderId="22" xfId="2" applyNumberFormat="1" applyFont="1" applyFill="1" applyBorder="1" applyAlignment="1" applyProtection="1">
      <alignment horizontal="right" vertical="top"/>
      <protection locked="0"/>
    </xf>
    <xf numFmtId="167" fontId="4" fillId="0" borderId="31" xfId="2" applyNumberFormat="1" applyFont="1" applyFill="1" applyBorder="1" applyAlignment="1" applyProtection="1">
      <alignment horizontal="right" vertical="top"/>
      <protection locked="0"/>
    </xf>
    <xf numFmtId="170" fontId="9" fillId="0" borderId="78" xfId="4" applyNumberFormat="1" applyFont="1" applyBorder="1" applyAlignment="1">
      <alignment horizontal="center" vertical="center" wrapText="1"/>
    </xf>
    <xf numFmtId="178" fontId="4" fillId="0" borderId="22" xfId="4" applyNumberFormat="1" applyFont="1" applyBorder="1"/>
    <xf numFmtId="0" fontId="7" fillId="0" borderId="78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/>
    </xf>
    <xf numFmtId="0" fontId="9" fillId="0" borderId="86" xfId="0" applyFont="1" applyBorder="1" applyAlignment="1">
      <alignment horizontal="center"/>
    </xf>
    <xf numFmtId="0" fontId="9" fillId="0" borderId="87" xfId="0" applyFont="1" applyBorder="1" applyAlignment="1">
      <alignment horizontal="center"/>
    </xf>
    <xf numFmtId="0" fontId="9" fillId="0" borderId="80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4" fillId="0" borderId="79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/>
    </xf>
    <xf numFmtId="165" fontId="9" fillId="0" borderId="78" xfId="4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/>
    </xf>
    <xf numFmtId="170" fontId="9" fillId="0" borderId="84" xfId="4" applyNumberFormat="1" applyFont="1" applyBorder="1" applyAlignment="1">
      <alignment horizontal="center" vertical="center" wrapText="1"/>
    </xf>
    <xf numFmtId="170" fontId="9" fillId="0" borderId="67" xfId="4" applyNumberFormat="1" applyFont="1" applyBorder="1" applyAlignment="1">
      <alignment horizontal="center" vertical="center" wrapText="1"/>
    </xf>
    <xf numFmtId="2" fontId="9" fillId="0" borderId="78" xfId="0" applyNumberFormat="1" applyFont="1" applyBorder="1" applyAlignment="1">
      <alignment horizontal="center" vertical="center" wrapText="1"/>
    </xf>
    <xf numFmtId="170" fontId="9" fillId="0" borderId="81" xfId="4" applyNumberFormat="1" applyFont="1" applyBorder="1" applyAlignment="1">
      <alignment horizontal="center" vertical="center"/>
    </xf>
    <xf numFmtId="170" fontId="9" fillId="0" borderId="82" xfId="4" applyNumberFormat="1" applyFont="1" applyBorder="1" applyAlignment="1">
      <alignment horizontal="center" vertical="center"/>
    </xf>
    <xf numFmtId="170" fontId="9" fillId="0" borderId="83" xfId="4" applyNumberFormat="1" applyFont="1" applyBorder="1" applyAlignment="1">
      <alignment horizontal="center" vertical="center"/>
    </xf>
    <xf numFmtId="165" fontId="9" fillId="0" borderId="84" xfId="4" applyFont="1" applyBorder="1" applyAlignment="1">
      <alignment horizontal="center" vertical="center" wrapText="1"/>
    </xf>
    <xf numFmtId="165" fontId="9" fillId="0" borderId="67" xfId="4" applyFont="1" applyBorder="1" applyAlignment="1">
      <alignment horizontal="center" vertical="center" wrapText="1"/>
    </xf>
    <xf numFmtId="165" fontId="9" fillId="0" borderId="84" xfId="4" applyFont="1" applyBorder="1" applyAlignment="1">
      <alignment horizontal="center" vertical="center"/>
    </xf>
    <xf numFmtId="165" fontId="9" fillId="0" borderId="67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0" fontId="2" fillId="0" borderId="0" xfId="4" applyNumberFormat="1" applyFont="1" applyFill="1" applyBorder="1" applyAlignment="1">
      <alignment horizontal="center"/>
    </xf>
    <xf numFmtId="170" fontId="5" fillId="0" borderId="22" xfId="4" applyNumberFormat="1" applyFont="1" applyFill="1" applyBorder="1" applyAlignment="1">
      <alignment horizontal="center" vertical="center" wrapText="1"/>
    </xf>
    <xf numFmtId="170" fontId="5" fillId="0" borderId="22" xfId="4" applyNumberFormat="1" applyFont="1" applyFill="1" applyBorder="1" applyAlignment="1">
      <alignment horizontal="center" vertical="center"/>
    </xf>
    <xf numFmtId="170" fontId="4" fillId="0" borderId="22" xfId="4" applyNumberFormat="1" applyFont="1" applyFill="1" applyBorder="1" applyAlignment="1">
      <alignment horizontal="center" vertical="center"/>
    </xf>
    <xf numFmtId="170" fontId="4" fillId="0" borderId="22" xfId="4" applyNumberFormat="1" applyFont="1" applyFill="1" applyBorder="1" applyAlignment="1">
      <alignment horizontal="center" wrapText="1"/>
    </xf>
    <xf numFmtId="0" fontId="5" fillId="0" borderId="22" xfId="1" applyFont="1" applyBorder="1" applyAlignment="1">
      <alignment horizontal="center" vertical="center"/>
    </xf>
    <xf numFmtId="170" fontId="2" fillId="0" borderId="17" xfId="4" applyNumberFormat="1" applyFont="1" applyFill="1" applyBorder="1" applyAlignment="1">
      <alignment horizontal="center"/>
    </xf>
    <xf numFmtId="0" fontId="4" fillId="0" borderId="0" xfId="1" applyFont="1" applyAlignment="1">
      <alignment horizontal="center" vertical="center"/>
    </xf>
    <xf numFmtId="167" fontId="2" fillId="0" borderId="0" xfId="1" applyNumberFormat="1" applyFont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2" xfId="1" applyFont="1" applyBorder="1"/>
    <xf numFmtId="170" fontId="4" fillId="0" borderId="22" xfId="4" applyNumberFormat="1" applyFont="1" applyFill="1" applyBorder="1" applyAlignment="1">
      <alignment horizontal="center"/>
    </xf>
    <xf numFmtId="167" fontId="4" fillId="30" borderId="22" xfId="1" applyNumberFormat="1" applyFont="1" applyFill="1" applyBorder="1" applyAlignment="1">
      <alignment horizontal="center"/>
    </xf>
    <xf numFmtId="170" fontId="4" fillId="0" borderId="22" xfId="4" applyNumberFormat="1" applyFont="1" applyFill="1" applyBorder="1" applyAlignment="1">
      <alignment horizontal="center" vertical="center" wrapText="1"/>
    </xf>
    <xf numFmtId="175" fontId="5" fillId="30" borderId="22" xfId="1" applyNumberFormat="1" applyFont="1" applyFill="1" applyBorder="1" applyAlignment="1">
      <alignment horizontal="center" vertical="center" wrapText="1"/>
    </xf>
    <xf numFmtId="175" fontId="4" fillId="30" borderId="22" xfId="1" applyNumberFormat="1" applyFont="1" applyFill="1" applyBorder="1" applyAlignment="1">
      <alignment horizontal="center" vertical="center" wrapText="1"/>
    </xf>
    <xf numFmtId="176" fontId="4" fillId="30" borderId="22" xfId="1" applyNumberFormat="1" applyFont="1" applyFill="1" applyBorder="1" applyAlignment="1">
      <alignment horizontal="center" vertical="center" wrapText="1"/>
    </xf>
    <xf numFmtId="176" fontId="5" fillId="30" borderId="22" xfId="1" applyNumberFormat="1" applyFont="1" applyFill="1" applyBorder="1" applyAlignment="1">
      <alignment horizontal="center" vertical="center" wrapText="1"/>
    </xf>
    <xf numFmtId="175" fontId="4" fillId="30" borderId="22" xfId="6" applyNumberFormat="1" applyFont="1" applyFill="1" applyBorder="1" applyAlignment="1">
      <alignment horizontal="center" vertical="center"/>
    </xf>
    <xf numFmtId="175" fontId="4" fillId="30" borderId="22" xfId="1" applyNumberFormat="1" applyFont="1" applyFill="1" applyBorder="1" applyAlignment="1">
      <alignment horizontal="center" vertical="center"/>
    </xf>
    <xf numFmtId="176" fontId="4" fillId="30" borderId="22" xfId="1" applyNumberFormat="1" applyFont="1" applyFill="1" applyBorder="1" applyAlignment="1">
      <alignment horizontal="center" vertical="center"/>
    </xf>
    <xf numFmtId="0" fontId="4" fillId="0" borderId="96" xfId="1" applyFont="1" applyBorder="1" applyAlignment="1">
      <alignment horizontal="center" vertical="center"/>
    </xf>
    <xf numFmtId="170" fontId="4" fillId="0" borderId="15" xfId="4" applyNumberFormat="1" applyFont="1" applyFill="1" applyBorder="1" applyAlignment="1">
      <alignment horizontal="center" vertical="center" wrapText="1"/>
    </xf>
    <xf numFmtId="170" fontId="4" fillId="0" borderId="45" xfId="4" applyNumberFormat="1" applyFont="1" applyFill="1" applyBorder="1" applyAlignment="1">
      <alignment horizontal="center" vertical="center" wrapText="1"/>
    </xf>
    <xf numFmtId="170" fontId="4" fillId="0" borderId="23" xfId="4" applyNumberFormat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166" fontId="4" fillId="0" borderId="22" xfId="1" applyNumberFormat="1" applyFont="1" applyBorder="1" applyAlignment="1">
      <alignment horizontal="center"/>
    </xf>
    <xf numFmtId="175" fontId="5" fillId="30" borderId="22" xfId="6" applyNumberFormat="1" applyFont="1" applyFill="1" applyBorder="1" applyAlignment="1">
      <alignment horizontal="center" vertical="center" wrapText="1"/>
    </xf>
    <xf numFmtId="2" fontId="22" fillId="0" borderId="7" xfId="1" applyNumberFormat="1" applyFont="1" applyBorder="1" applyAlignment="1">
      <alignment horizontal="center"/>
    </xf>
    <xf numFmtId="2" fontId="22" fillId="0" borderId="0" xfId="1" applyNumberFormat="1" applyFont="1" applyAlignment="1">
      <alignment horizontal="center"/>
    </xf>
    <xf numFmtId="167" fontId="5" fillId="0" borderId="22" xfId="2" applyNumberFormat="1" applyFont="1" applyFill="1" applyBorder="1" applyAlignment="1">
      <alignment horizontal="center" vertical="center"/>
    </xf>
    <xf numFmtId="164" fontId="5" fillId="0" borderId="22" xfId="2" applyFont="1" applyFill="1" applyBorder="1" applyAlignment="1">
      <alignment horizontal="center" vertical="center"/>
    </xf>
    <xf numFmtId="164" fontId="4" fillId="0" borderId="22" xfId="2" applyFont="1" applyFill="1" applyBorder="1" applyAlignment="1">
      <alignment horizontal="center" vertical="center"/>
    </xf>
    <xf numFmtId="167" fontId="5" fillId="0" borderId="22" xfId="1" applyNumberFormat="1" applyFont="1" applyBorder="1" applyAlignment="1">
      <alignment horizontal="center"/>
    </xf>
    <xf numFmtId="167" fontId="21" fillId="0" borderId="22" xfId="1" applyNumberFormat="1" applyFont="1" applyBorder="1"/>
    <xf numFmtId="164" fontId="5" fillId="0" borderId="22" xfId="2" applyFont="1" applyFill="1" applyBorder="1" applyAlignment="1">
      <alignment horizontal="center" vertical="center" wrapText="1"/>
    </xf>
    <xf numFmtId="164" fontId="4" fillId="0" borderId="22" xfId="2" applyFont="1" applyFill="1" applyBorder="1" applyAlignment="1">
      <alignment horizontal="center" wrapText="1"/>
    </xf>
    <xf numFmtId="167" fontId="17" fillId="0" borderId="0" xfId="2" applyNumberFormat="1" applyFont="1" applyFill="1" applyAlignment="1">
      <alignment horizontal="center"/>
    </xf>
    <xf numFmtId="0" fontId="18" fillId="0" borderId="0" xfId="1" applyFont="1" applyAlignment="1">
      <alignment horizontal="center"/>
    </xf>
    <xf numFmtId="164" fontId="22" fillId="0" borderId="0" xfId="2" applyFont="1" applyFill="1" applyBorder="1" applyAlignment="1">
      <alignment horizontal="center"/>
    </xf>
    <xf numFmtId="164" fontId="4" fillId="0" borderId="22" xfId="2" applyFont="1" applyFill="1" applyBorder="1" applyAlignment="1">
      <alignment horizontal="center" vertical="center" wrapText="1"/>
    </xf>
    <xf numFmtId="164" fontId="4" fillId="3" borderId="22" xfId="2" applyFont="1" applyFill="1" applyBorder="1" applyAlignment="1">
      <alignment horizontal="center" vertical="center" wrapText="1"/>
    </xf>
    <xf numFmtId="167" fontId="4" fillId="0" borderId="22" xfId="2" applyNumberFormat="1" applyFont="1" applyFill="1" applyBorder="1" applyAlignment="1">
      <alignment horizontal="center" vertical="center"/>
    </xf>
    <xf numFmtId="0" fontId="21" fillId="0" borderId="22" xfId="1" applyFont="1" applyBorder="1"/>
    <xf numFmtId="164" fontId="4" fillId="0" borderId="22" xfId="2" applyFont="1" applyFill="1" applyBorder="1" applyAlignment="1">
      <alignment horizontal="center"/>
    </xf>
    <xf numFmtId="167" fontId="4" fillId="0" borderId="22" xfId="1" applyNumberFormat="1" applyFont="1" applyBorder="1" applyAlignment="1">
      <alignment horizontal="center"/>
    </xf>
    <xf numFmtId="0" fontId="1" fillId="36" borderId="0" xfId="13" applyFill="1" applyAlignment="1">
      <alignment horizontal="left" wrapText="1"/>
    </xf>
    <xf numFmtId="0" fontId="1" fillId="36" borderId="0" xfId="13" applyFill="1" applyAlignment="1">
      <alignment horizontal="left" vertical="top"/>
    </xf>
    <xf numFmtId="0" fontId="39" fillId="36" borderId="0" xfId="0" applyFont="1" applyFill="1" applyAlignment="1">
      <alignment horizontal="center" vertical="center"/>
    </xf>
    <xf numFmtId="0" fontId="39" fillId="36" borderId="0" xfId="13" applyFont="1" applyFill="1" applyAlignment="1">
      <alignment horizontal="center"/>
    </xf>
    <xf numFmtId="0" fontId="40" fillId="36" borderId="66" xfId="0" applyFont="1" applyFill="1" applyBorder="1" applyAlignment="1">
      <alignment horizontal="center" vertical="center"/>
    </xf>
    <xf numFmtId="0" fontId="40" fillId="36" borderId="67" xfId="0" applyFont="1" applyFill="1" applyBorder="1" applyAlignment="1">
      <alignment horizontal="center" vertical="center"/>
    </xf>
    <xf numFmtId="0" fontId="74" fillId="41" borderId="95" xfId="0" applyFont="1" applyFill="1" applyBorder="1" applyAlignment="1">
      <alignment horizontal="center"/>
    </xf>
    <xf numFmtId="0" fontId="39" fillId="36" borderId="0" xfId="0" applyFont="1" applyFill="1" applyAlignment="1">
      <alignment horizontal="center"/>
    </xf>
    <xf numFmtId="0" fontId="39" fillId="36" borderId="14" xfId="0" applyFont="1" applyFill="1" applyBorder="1" applyAlignment="1">
      <alignment horizontal="center" vertical="center"/>
    </xf>
    <xf numFmtId="0" fontId="74" fillId="41" borderId="0" xfId="0" applyFont="1" applyFill="1" applyAlignment="1">
      <alignment horizontal="center"/>
    </xf>
    <xf numFmtId="0" fontId="39" fillId="41" borderId="0" xfId="13" applyFont="1" applyFill="1" applyAlignment="1">
      <alignment horizontal="center"/>
    </xf>
    <xf numFmtId="164" fontId="71" fillId="0" borderId="14" xfId="951" applyNumberFormat="1" applyBorder="1" applyAlignment="1">
      <alignment horizontal="left"/>
    </xf>
    <xf numFmtId="0" fontId="71" fillId="0" borderId="14" xfId="951" applyBorder="1" applyAlignment="1">
      <alignment horizontal="left"/>
    </xf>
    <xf numFmtId="0" fontId="2" fillId="0" borderId="90" xfId="1" applyFont="1" applyBorder="1" applyAlignment="1">
      <alignment horizontal="center"/>
    </xf>
    <xf numFmtId="0" fontId="2" fillId="0" borderId="91" xfId="1" applyFont="1" applyBorder="1" applyAlignment="1">
      <alignment horizontal="center"/>
    </xf>
    <xf numFmtId="0" fontId="22" fillId="0" borderId="91" xfId="1" applyFont="1" applyBorder="1"/>
    <xf numFmtId="0" fontId="22" fillId="0" borderId="7" xfId="1" applyFont="1" applyBorder="1"/>
    <xf numFmtId="0" fontId="22" fillId="0" borderId="0" xfId="1" applyFont="1"/>
    <xf numFmtId="165" fontId="9" fillId="0" borderId="68" xfId="4" applyFont="1" applyBorder="1" applyAlignment="1">
      <alignment horizontal="center" vertical="center" wrapText="1"/>
    </xf>
    <xf numFmtId="170" fontId="9" fillId="0" borderId="68" xfId="4" applyNumberFormat="1" applyFont="1" applyBorder="1" applyAlignment="1">
      <alignment horizontal="center" vertical="center" wrapText="1"/>
    </xf>
    <xf numFmtId="0" fontId="0" fillId="6" borderId="0" xfId="951" applyFont="1" applyFill="1" applyAlignment="1">
      <alignment horizontal="left" vertical="center" wrapText="1"/>
    </xf>
    <xf numFmtId="0" fontId="71" fillId="6" borderId="0" xfId="951" applyFill="1" applyAlignment="1">
      <alignment horizontal="left" vertical="center" wrapText="1"/>
    </xf>
    <xf numFmtId="0" fontId="72" fillId="6" borderId="7" xfId="951" applyFont="1" applyFill="1" applyBorder="1" applyAlignment="1">
      <alignment horizontal="left" vertical="top" wrapText="1"/>
    </xf>
    <xf numFmtId="0" fontId="72" fillId="6" borderId="0" xfId="951" applyFont="1" applyFill="1" applyAlignment="1">
      <alignment horizontal="left" vertical="top" wrapText="1"/>
    </xf>
    <xf numFmtId="166" fontId="4" fillId="0" borderId="81" xfId="1" applyNumberFormat="1" applyFont="1" applyBorder="1" applyAlignment="1">
      <alignment horizontal="center"/>
    </xf>
    <xf numFmtId="166" fontId="4" fillId="0" borderId="82" xfId="1" applyNumberFormat="1" applyFont="1" applyBorder="1" applyAlignment="1">
      <alignment horizontal="center"/>
    </xf>
    <xf numFmtId="170" fontId="9" fillId="40" borderId="84" xfId="4" applyNumberFormat="1" applyFont="1" applyFill="1" applyBorder="1" applyAlignment="1">
      <alignment horizontal="center" vertical="center" wrapText="1"/>
    </xf>
    <xf numFmtId="170" fontId="9" fillId="40" borderId="68" xfId="4" applyNumberFormat="1" applyFont="1" applyFill="1" applyBorder="1" applyAlignment="1">
      <alignment horizontal="center" vertical="center" wrapText="1"/>
    </xf>
    <xf numFmtId="170" fontId="9" fillId="40" borderId="67" xfId="4" applyNumberFormat="1" applyFont="1" applyFill="1" applyBorder="1" applyAlignment="1">
      <alignment horizontal="center" vertical="center" wrapText="1"/>
    </xf>
    <xf numFmtId="0" fontId="43" fillId="0" borderId="84" xfId="951" applyFont="1" applyBorder="1" applyAlignment="1">
      <alignment horizontal="center" vertical="center"/>
    </xf>
    <xf numFmtId="0" fontId="43" fillId="0" borderId="68" xfId="951" applyFont="1" applyBorder="1" applyAlignment="1">
      <alignment horizontal="center" vertical="center"/>
    </xf>
    <xf numFmtId="0" fontId="43" fillId="0" borderId="67" xfId="951" applyFont="1" applyBorder="1" applyAlignment="1">
      <alignment horizontal="center" vertical="center"/>
    </xf>
    <xf numFmtId="170" fontId="72" fillId="0" borderId="90" xfId="4" applyNumberFormat="1" applyFont="1" applyBorder="1" applyAlignment="1">
      <alignment horizontal="center" vertical="center"/>
    </xf>
    <xf numFmtId="170" fontId="72" fillId="0" borderId="92" xfId="4" applyNumberFormat="1" applyFont="1" applyBorder="1" applyAlignment="1">
      <alignment horizontal="center" vertical="center"/>
    </xf>
    <xf numFmtId="170" fontId="72" fillId="0" borderId="7" xfId="4" applyNumberFormat="1" applyFont="1" applyBorder="1" applyAlignment="1">
      <alignment horizontal="center" vertical="center"/>
    </xf>
    <xf numFmtId="170" fontId="72" fillId="0" borderId="47" xfId="4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70" fontId="72" fillId="0" borderId="84" xfId="4" applyNumberFormat="1" applyFont="1" applyBorder="1" applyAlignment="1">
      <alignment horizontal="center" vertical="center"/>
    </xf>
    <xf numFmtId="170" fontId="72" fillId="0" borderId="68" xfId="4" applyNumberFormat="1" applyFont="1" applyBorder="1" applyAlignment="1">
      <alignment horizontal="center" vertical="center"/>
    </xf>
    <xf numFmtId="170" fontId="72" fillId="0" borderId="67" xfId="4" applyNumberFormat="1" applyFont="1" applyBorder="1" applyAlignment="1">
      <alignment horizontal="center" vertical="center"/>
    </xf>
    <xf numFmtId="165" fontId="4" fillId="0" borderId="15" xfId="4" applyFont="1" applyFill="1" applyBorder="1" applyAlignment="1">
      <alignment horizontal="center" vertical="center" wrapText="1"/>
    </xf>
    <xf numFmtId="165" fontId="4" fillId="0" borderId="45" xfId="4" applyFont="1" applyFill="1" applyBorder="1" applyAlignment="1">
      <alignment horizontal="center" vertical="center" wrapText="1"/>
    </xf>
    <xf numFmtId="165" fontId="4" fillId="0" borderId="23" xfId="4" applyFont="1" applyFill="1" applyBorder="1" applyAlignment="1">
      <alignment horizontal="center" vertical="center" wrapText="1"/>
    </xf>
    <xf numFmtId="170" fontId="4" fillId="0" borderId="0" xfId="4" applyNumberFormat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164" fontId="2" fillId="0" borderId="0" xfId="2" applyFont="1" applyFill="1" applyBorder="1" applyAlignment="1">
      <alignment horizontal="center"/>
    </xf>
    <xf numFmtId="164" fontId="4" fillId="0" borderId="17" xfId="2" applyFont="1" applyFill="1" applyBorder="1" applyAlignment="1">
      <alignment horizontal="center"/>
    </xf>
    <xf numFmtId="0" fontId="20" fillId="0" borderId="7" xfId="1" applyFont="1" applyBorder="1" applyAlignment="1">
      <alignment horizontal="center"/>
    </xf>
    <xf numFmtId="0" fontId="20" fillId="0" borderId="0" xfId="1" applyFont="1" applyAlignment="1">
      <alignment horizontal="center"/>
    </xf>
    <xf numFmtId="0" fontId="20" fillId="0" borderId="47" xfId="1" applyFont="1" applyBorder="1" applyAlignment="1">
      <alignment horizontal="center"/>
    </xf>
    <xf numFmtId="164" fontId="4" fillId="0" borderId="53" xfId="1" applyNumberFormat="1" applyFont="1" applyBorder="1" applyAlignment="1">
      <alignment horizontal="center"/>
    </xf>
    <xf numFmtId="164" fontId="4" fillId="0" borderId="34" xfId="1" applyNumberFormat="1" applyFont="1" applyBorder="1" applyAlignment="1">
      <alignment horizontal="center"/>
    </xf>
    <xf numFmtId="0" fontId="23" fillId="0" borderId="45" xfId="1" applyFont="1" applyBorder="1" applyAlignment="1">
      <alignment horizontal="center" vertical="center"/>
    </xf>
    <xf numFmtId="0" fontId="23" fillId="0" borderId="50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23" fillId="0" borderId="48" xfId="1" applyFont="1" applyBorder="1" applyAlignment="1">
      <alignment horizontal="center" vertical="center"/>
    </xf>
    <xf numFmtId="0" fontId="23" fillId="0" borderId="51" xfId="1" applyFont="1" applyBorder="1" applyAlignment="1">
      <alignment horizontal="center" vertical="center"/>
    </xf>
    <xf numFmtId="167" fontId="5" fillId="0" borderId="45" xfId="2" applyNumberFormat="1" applyFont="1" applyFill="1" applyBorder="1" applyAlignment="1">
      <alignment horizontal="center" vertical="center"/>
    </xf>
    <xf numFmtId="167" fontId="5" fillId="0" borderId="50" xfId="2" applyNumberFormat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164" fontId="5" fillId="0" borderId="45" xfId="2" applyFont="1" applyFill="1" applyBorder="1" applyAlignment="1">
      <alignment horizontal="center" vertical="center"/>
    </xf>
    <xf numFmtId="164" fontId="5" fillId="0" borderId="50" xfId="2" applyFont="1" applyFill="1" applyBorder="1" applyAlignment="1">
      <alignment horizontal="center" vertical="center"/>
    </xf>
    <xf numFmtId="164" fontId="4" fillId="0" borderId="15" xfId="2" applyFont="1" applyFill="1" applyBorder="1" applyAlignment="1">
      <alignment horizontal="center" vertical="center"/>
    </xf>
    <xf numFmtId="164" fontId="22" fillId="0" borderId="14" xfId="2" applyFont="1" applyFill="1" applyBorder="1" applyAlignment="1">
      <alignment horizontal="center"/>
    </xf>
    <xf numFmtId="164" fontId="4" fillId="0" borderId="39" xfId="2" applyFont="1" applyFill="1" applyBorder="1" applyAlignment="1">
      <alignment horizontal="center"/>
    </xf>
    <xf numFmtId="164" fontId="4" fillId="0" borderId="39" xfId="2" applyFont="1" applyFill="1" applyBorder="1" applyAlignment="1">
      <alignment horizontal="center" vertical="center" wrapText="1"/>
    </xf>
    <xf numFmtId="164" fontId="4" fillId="0" borderId="45" xfId="2" applyFont="1" applyFill="1" applyBorder="1" applyAlignment="1">
      <alignment horizontal="center" vertical="center" wrapText="1"/>
    </xf>
    <xf numFmtId="164" fontId="4" fillId="0" borderId="39" xfId="2" applyFont="1" applyFill="1" applyBorder="1" applyAlignment="1">
      <alignment horizontal="center" vertical="center"/>
    </xf>
    <xf numFmtId="164" fontId="4" fillId="0" borderId="45" xfId="2" applyFont="1" applyFill="1" applyBorder="1" applyAlignment="1">
      <alignment horizontal="center" vertical="center"/>
    </xf>
    <xf numFmtId="164" fontId="4" fillId="3" borderId="15" xfId="2" applyFont="1" applyFill="1" applyBorder="1" applyAlignment="1">
      <alignment horizontal="center" vertical="center" wrapText="1"/>
    </xf>
    <xf numFmtId="164" fontId="4" fillId="3" borderId="45" xfId="2" applyFont="1" applyFill="1" applyBorder="1" applyAlignment="1">
      <alignment horizontal="center" vertical="center" wrapText="1"/>
    </xf>
    <xf numFmtId="164" fontId="4" fillId="3" borderId="50" xfId="2" applyFont="1" applyFill="1" applyBorder="1" applyAlignment="1">
      <alignment horizontal="center" vertical="center" wrapText="1"/>
    </xf>
    <xf numFmtId="164" fontId="5" fillId="0" borderId="42" xfId="2" applyFont="1" applyFill="1" applyBorder="1" applyAlignment="1">
      <alignment horizontal="center" vertical="center"/>
    </xf>
    <xf numFmtId="164" fontId="5" fillId="0" borderId="9" xfId="2" applyFont="1" applyFill="1" applyBorder="1" applyAlignment="1">
      <alignment horizontal="center" vertical="center"/>
    </xf>
    <xf numFmtId="164" fontId="5" fillId="0" borderId="42" xfId="2" applyFont="1" applyFill="1" applyBorder="1" applyAlignment="1">
      <alignment horizontal="center"/>
    </xf>
    <xf numFmtId="164" fontId="5" fillId="0" borderId="9" xfId="2" applyFont="1" applyFill="1" applyBorder="1" applyAlignment="1">
      <alignment horizontal="center"/>
    </xf>
    <xf numFmtId="167" fontId="4" fillId="0" borderId="15" xfId="2" applyNumberFormat="1" applyFont="1" applyFill="1" applyBorder="1" applyAlignment="1">
      <alignment horizontal="center" vertical="center"/>
    </xf>
    <xf numFmtId="167" fontId="4" fillId="0" borderId="45" xfId="2" applyNumberFormat="1" applyFont="1" applyFill="1" applyBorder="1" applyAlignment="1">
      <alignment horizontal="center" vertical="center"/>
    </xf>
    <xf numFmtId="164" fontId="5" fillId="0" borderId="45" xfId="2" applyFont="1" applyFill="1" applyBorder="1" applyAlignment="1">
      <alignment horizontal="center" vertical="center" wrapText="1"/>
    </xf>
    <xf numFmtId="164" fontId="5" fillId="0" borderId="50" xfId="2" applyFont="1" applyFill="1" applyBorder="1" applyAlignment="1">
      <alignment horizontal="center" vertical="center" wrapText="1"/>
    </xf>
    <xf numFmtId="164" fontId="4" fillId="0" borderId="15" xfId="2" applyFont="1" applyFill="1" applyBorder="1" applyAlignment="1">
      <alignment horizontal="center"/>
    </xf>
    <xf numFmtId="0" fontId="20" fillId="0" borderId="14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21" fillId="0" borderId="32" xfId="1" applyFont="1" applyBorder="1"/>
    <xf numFmtId="0" fontId="21" fillId="0" borderId="7" xfId="1" applyFont="1" applyBorder="1"/>
    <xf numFmtId="0" fontId="21" fillId="0" borderId="41" xfId="1" applyFont="1" applyBorder="1"/>
    <xf numFmtId="164" fontId="4" fillId="0" borderId="33" xfId="2" applyFont="1" applyFill="1" applyBorder="1" applyAlignment="1">
      <alignment horizontal="center"/>
    </xf>
    <xf numFmtId="164" fontId="4" fillId="0" borderId="34" xfId="2" applyFont="1" applyFill="1" applyBorder="1" applyAlignment="1">
      <alignment horizontal="center"/>
    </xf>
    <xf numFmtId="164" fontId="4" fillId="0" borderId="35" xfId="2" applyFont="1" applyFill="1" applyBorder="1" applyAlignment="1">
      <alignment horizontal="center"/>
    </xf>
    <xf numFmtId="164" fontId="4" fillId="0" borderId="36" xfId="2" applyFont="1" applyFill="1" applyBorder="1" applyAlignment="1">
      <alignment horizontal="center"/>
    </xf>
    <xf numFmtId="164" fontId="4" fillId="0" borderId="2" xfId="2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21" fillId="0" borderId="19" xfId="1" applyNumberFormat="1" applyFont="1" applyBorder="1"/>
    <xf numFmtId="167" fontId="21" fillId="0" borderId="20" xfId="1" applyNumberFormat="1" applyFont="1" applyBorder="1"/>
    <xf numFmtId="0" fontId="6" fillId="0" borderId="36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0" xfId="1" applyFont="1" applyBorder="1" applyAlignment="1">
      <alignment horizontal="center"/>
    </xf>
    <xf numFmtId="0" fontId="6" fillId="0" borderId="45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/>
    </xf>
    <xf numFmtId="0" fontId="6" fillId="0" borderId="23" xfId="1" applyFont="1" applyBorder="1" applyAlignment="1">
      <alignment horizontal="center" vertical="center"/>
    </xf>
    <xf numFmtId="0" fontId="23" fillId="0" borderId="42" xfId="1" applyFont="1" applyBorder="1" applyAlignment="1">
      <alignment horizontal="center"/>
    </xf>
    <xf numFmtId="0" fontId="23" fillId="0" borderId="9" xfId="1" applyFont="1" applyBorder="1" applyAlignment="1">
      <alignment horizontal="center"/>
    </xf>
    <xf numFmtId="164" fontId="4" fillId="0" borderId="23" xfId="2" applyFont="1" applyFill="1" applyBorder="1" applyAlignment="1">
      <alignment horizontal="center" vertical="center"/>
    </xf>
    <xf numFmtId="164" fontId="4" fillId="0" borderId="15" xfId="2" applyFont="1" applyFill="1" applyBorder="1" applyAlignment="1">
      <alignment horizontal="center" wrapText="1"/>
    </xf>
    <xf numFmtId="164" fontId="4" fillId="0" borderId="45" xfId="2" applyFont="1" applyFill="1" applyBorder="1" applyAlignment="1">
      <alignment horizontal="center" wrapText="1"/>
    </xf>
    <xf numFmtId="167" fontId="5" fillId="0" borderId="42" xfId="1" applyNumberFormat="1" applyFont="1" applyBorder="1" applyAlignment="1">
      <alignment horizontal="center"/>
    </xf>
    <xf numFmtId="167" fontId="21" fillId="0" borderId="17" xfId="1" applyNumberFormat="1" applyFont="1" applyBorder="1"/>
    <xf numFmtId="167" fontId="21" fillId="0" borderId="43" xfId="1" applyNumberFormat="1" applyFont="1" applyBorder="1"/>
    <xf numFmtId="0" fontId="24" fillId="0" borderId="16" xfId="0" applyFont="1" applyBorder="1" applyAlignment="1">
      <alignment horizontal="center" vertical="center" wrapText="1"/>
    </xf>
    <xf numFmtId="0" fontId="39" fillId="0" borderId="0" xfId="13" applyFont="1" applyAlignment="1">
      <alignment horizontal="center"/>
    </xf>
    <xf numFmtId="0" fontId="24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</cellXfs>
  <cellStyles count="952">
    <cellStyle name="20% - Accent1 2" xfId="18"/>
    <cellStyle name="20% - Accent2 2" xfId="19"/>
    <cellStyle name="20% - Accent3 2" xfId="20"/>
    <cellStyle name="20% - Accent4 2" xfId="21"/>
    <cellStyle name="20% - Accent5 2" xfId="22"/>
    <cellStyle name="20% - Accent6 2" xfId="23"/>
    <cellStyle name="40% - Accent1 2" xfId="24"/>
    <cellStyle name="40% - Accent2 2" xfId="25"/>
    <cellStyle name="40% - Accent3 2" xfId="26"/>
    <cellStyle name="40% - Accent4 2" xfId="27"/>
    <cellStyle name="40% - Accent5 2" xfId="28"/>
    <cellStyle name="40% - Accent6 2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Accent1 2" xfId="36"/>
    <cellStyle name="Accent2 2" xfId="37"/>
    <cellStyle name="Accent3 2" xfId="38"/>
    <cellStyle name="Accent4 2" xfId="39"/>
    <cellStyle name="Accent5 2" xfId="40"/>
    <cellStyle name="Accent6 2" xfId="41"/>
    <cellStyle name="Bad 2" xfId="42"/>
    <cellStyle name="Calculation 2" xfId="43"/>
    <cellStyle name="Check Cell 2" xfId="44"/>
    <cellStyle name="Comma" xfId="4" builtinId="3"/>
    <cellStyle name="Comma [0]" xfId="5" builtinId="6"/>
    <cellStyle name="Comma [0] 2" xfId="45"/>
    <cellStyle name="Comma [0] 2 2" xfId="46"/>
    <cellStyle name="Comma [0] 2 2 2" xfId="2"/>
    <cellStyle name="Comma [0] 2 2 2 2" xfId="48"/>
    <cellStyle name="Comma [0] 2 2 2 3" xfId="49"/>
    <cellStyle name="Comma [0] 2 2 2 4" xfId="47"/>
    <cellStyle name="Comma [0] 2 3" xfId="50"/>
    <cellStyle name="Comma [0] 2 3 2" xfId="51"/>
    <cellStyle name="Comma [0] 2 3 2 2" xfId="52"/>
    <cellStyle name="Comma [0] 2 4" xfId="53"/>
    <cellStyle name="Comma [0] 2 4 2" xfId="54"/>
    <cellStyle name="Comma [0] 2 5" xfId="55"/>
    <cellStyle name="Comma [0] 3" xfId="56"/>
    <cellStyle name="Comma [0] 3 2" xfId="57"/>
    <cellStyle name="Comma [0] 3 2 2" xfId="58"/>
    <cellStyle name="Comma [0] 3 2 2 2" xfId="59"/>
    <cellStyle name="Comma [0] 3 3" xfId="60"/>
    <cellStyle name="Comma [0] 3 3 2" xfId="61"/>
    <cellStyle name="Comma [0] 4" xfId="62"/>
    <cellStyle name="Comma [0] 4 2" xfId="63"/>
    <cellStyle name="Comma [0] 4 2 2" xfId="64"/>
    <cellStyle name="Comma [0] 5" xfId="65"/>
    <cellStyle name="Comma [0] 5 2" xfId="66"/>
    <cellStyle name="Comma [0] 5 2 2" xfId="67"/>
    <cellStyle name="Comma [0] 6" xfId="68"/>
    <cellStyle name="Comma [0] 6 2" xfId="69"/>
    <cellStyle name="Comma [0] 7" xfId="70"/>
    <cellStyle name="Comma [0] 8" xfId="16"/>
    <cellStyle name="Comma 10" xfId="71"/>
    <cellStyle name="Comma 10 2" xfId="72"/>
    <cellStyle name="Comma 10 2 2" xfId="73"/>
    <cellStyle name="Comma 10 2 2 2" xfId="74"/>
    <cellStyle name="Comma 10 3" xfId="75"/>
    <cellStyle name="Comma 10 3 2" xfId="76"/>
    <cellStyle name="Comma 100" xfId="77"/>
    <cellStyle name="Comma 100 2" xfId="78"/>
    <cellStyle name="Comma 100 2 2" xfId="79"/>
    <cellStyle name="Comma 101" xfId="80"/>
    <cellStyle name="Comma 101 2" xfId="81"/>
    <cellStyle name="Comma 101 2 2" xfId="82"/>
    <cellStyle name="Comma 102" xfId="83"/>
    <cellStyle name="Comma 102 2" xfId="84"/>
    <cellStyle name="Comma 102 2 2" xfId="85"/>
    <cellStyle name="Comma 103" xfId="86"/>
    <cellStyle name="Comma 103 2" xfId="87"/>
    <cellStyle name="Comma 103 2 2" xfId="88"/>
    <cellStyle name="Comma 104" xfId="89"/>
    <cellStyle name="Comma 104 2" xfId="90"/>
    <cellStyle name="Comma 104 2 2" xfId="91"/>
    <cellStyle name="Comma 105" xfId="92"/>
    <cellStyle name="Comma 105 2" xfId="93"/>
    <cellStyle name="Comma 105 2 2" xfId="94"/>
    <cellStyle name="Comma 106" xfId="95"/>
    <cellStyle name="Comma 106 2" xfId="96"/>
    <cellStyle name="Comma 106 2 2" xfId="97"/>
    <cellStyle name="Comma 107" xfId="98"/>
    <cellStyle name="Comma 107 2" xfId="99"/>
    <cellStyle name="Comma 107 2 2" xfId="100"/>
    <cellStyle name="Comma 108" xfId="101"/>
    <cellStyle name="Comma 108 2" xfId="102"/>
    <cellStyle name="Comma 108 2 2" xfId="103"/>
    <cellStyle name="Comma 109" xfId="104"/>
    <cellStyle name="Comma 109 2" xfId="105"/>
    <cellStyle name="Comma 109 2 2" xfId="106"/>
    <cellStyle name="Comma 11" xfId="107"/>
    <cellStyle name="Comma 11 2" xfId="108"/>
    <cellStyle name="Comma 11 2 2" xfId="109"/>
    <cellStyle name="Comma 11 2 2 2" xfId="110"/>
    <cellStyle name="Comma 11 3" xfId="111"/>
    <cellStyle name="Comma 11 3 2" xfId="112"/>
    <cellStyle name="Comma 110" xfId="113"/>
    <cellStyle name="Comma 110 2" xfId="114"/>
    <cellStyle name="Comma 110 2 2" xfId="115"/>
    <cellStyle name="Comma 111" xfId="116"/>
    <cellStyle name="Comma 111 2" xfId="117"/>
    <cellStyle name="Comma 111 2 2" xfId="118"/>
    <cellStyle name="Comma 112" xfId="119"/>
    <cellStyle name="Comma 112 2" xfId="120"/>
    <cellStyle name="Comma 112 2 2" xfId="121"/>
    <cellStyle name="Comma 113" xfId="122"/>
    <cellStyle name="Comma 113 2" xfId="123"/>
    <cellStyle name="Comma 113 2 2" xfId="124"/>
    <cellStyle name="Comma 114" xfId="125"/>
    <cellStyle name="Comma 114 2" xfId="126"/>
    <cellStyle name="Comma 114 2 2" xfId="127"/>
    <cellStyle name="Comma 115" xfId="128"/>
    <cellStyle name="Comma 115 2" xfId="129"/>
    <cellStyle name="Comma 115 2 2" xfId="130"/>
    <cellStyle name="Comma 116" xfId="131"/>
    <cellStyle name="Comma 116 2" xfId="132"/>
    <cellStyle name="Comma 116 2 2" xfId="133"/>
    <cellStyle name="Comma 117" xfId="134"/>
    <cellStyle name="Comma 117 2" xfId="135"/>
    <cellStyle name="Comma 117 2 2" xfId="136"/>
    <cellStyle name="Comma 118" xfId="137"/>
    <cellStyle name="Comma 118 2" xfId="138"/>
    <cellStyle name="Comma 118 2 2" xfId="139"/>
    <cellStyle name="Comma 119" xfId="140"/>
    <cellStyle name="Comma 119 2" xfId="141"/>
    <cellStyle name="Comma 119 2 2" xfId="142"/>
    <cellStyle name="Comma 12" xfId="143"/>
    <cellStyle name="Comma 12 2" xfId="144"/>
    <cellStyle name="Comma 12 2 2" xfId="145"/>
    <cellStyle name="Comma 12 2 2 2" xfId="146"/>
    <cellStyle name="Comma 12 3" xfId="147"/>
    <cellStyle name="Comma 12 3 2" xfId="148"/>
    <cellStyle name="Comma 120" xfId="149"/>
    <cellStyle name="Comma 120 2" xfId="150"/>
    <cellStyle name="Comma 120 2 2" xfId="151"/>
    <cellStyle name="Comma 121" xfId="152"/>
    <cellStyle name="Comma 121 2" xfId="153"/>
    <cellStyle name="Comma 121 2 2" xfId="154"/>
    <cellStyle name="Comma 122" xfId="155"/>
    <cellStyle name="Comma 122 2" xfId="156"/>
    <cellStyle name="Comma 122 2 2" xfId="157"/>
    <cellStyle name="Comma 123" xfId="158"/>
    <cellStyle name="Comma 123 2" xfId="159"/>
    <cellStyle name="Comma 123 2 2" xfId="160"/>
    <cellStyle name="Comma 124" xfId="161"/>
    <cellStyle name="Comma 124 2" xfId="162"/>
    <cellStyle name="Comma 124 2 2" xfId="163"/>
    <cellStyle name="Comma 125" xfId="164"/>
    <cellStyle name="Comma 125 2" xfId="165"/>
    <cellStyle name="Comma 125 2 2" xfId="166"/>
    <cellStyle name="Comma 126" xfId="167"/>
    <cellStyle name="Comma 126 2" xfId="168"/>
    <cellStyle name="Comma 126 2 2" xfId="169"/>
    <cellStyle name="Comma 127" xfId="170"/>
    <cellStyle name="Comma 127 2" xfId="171"/>
    <cellStyle name="Comma 127 2 2" xfId="172"/>
    <cellStyle name="Comma 128" xfId="173"/>
    <cellStyle name="Comma 128 2" xfId="174"/>
    <cellStyle name="Comma 128 2 2" xfId="175"/>
    <cellStyle name="Comma 129" xfId="176"/>
    <cellStyle name="Comma 129 2" xfId="177"/>
    <cellStyle name="Comma 129 2 2" xfId="178"/>
    <cellStyle name="Comma 13" xfId="179"/>
    <cellStyle name="Comma 13 2" xfId="180"/>
    <cellStyle name="Comma 13 2 2" xfId="181"/>
    <cellStyle name="Comma 13 2 2 2" xfId="182"/>
    <cellStyle name="Comma 13 3" xfId="183"/>
    <cellStyle name="Comma 13 3 2" xfId="184"/>
    <cellStyle name="Comma 130" xfId="185"/>
    <cellStyle name="Comma 130 2" xfId="186"/>
    <cellStyle name="Comma 130 2 2" xfId="187"/>
    <cellStyle name="Comma 131" xfId="188"/>
    <cellStyle name="Comma 131 2" xfId="189"/>
    <cellStyle name="Comma 131 2 2" xfId="190"/>
    <cellStyle name="Comma 132" xfId="191"/>
    <cellStyle name="Comma 132 2" xfId="192"/>
    <cellStyle name="Comma 132 2 2" xfId="193"/>
    <cellStyle name="Comma 133" xfId="194"/>
    <cellStyle name="Comma 133 2" xfId="195"/>
    <cellStyle name="Comma 133 2 2" xfId="196"/>
    <cellStyle name="Comma 134" xfId="197"/>
    <cellStyle name="Comma 134 2" xfId="198"/>
    <cellStyle name="Comma 134 2 2" xfId="199"/>
    <cellStyle name="Comma 135" xfId="200"/>
    <cellStyle name="Comma 135 2" xfId="201"/>
    <cellStyle name="Comma 135 2 2" xfId="202"/>
    <cellStyle name="Comma 136" xfId="203"/>
    <cellStyle name="Comma 136 2" xfId="204"/>
    <cellStyle name="Comma 137" xfId="205"/>
    <cellStyle name="Comma 137 2" xfId="206"/>
    <cellStyle name="Comma 138" xfId="207"/>
    <cellStyle name="Comma 138 2" xfId="208"/>
    <cellStyle name="Comma 139" xfId="209"/>
    <cellStyle name="Comma 139 2" xfId="210"/>
    <cellStyle name="Comma 14" xfId="211"/>
    <cellStyle name="Comma 14 2" xfId="212"/>
    <cellStyle name="Comma 14 2 2" xfId="213"/>
    <cellStyle name="Comma 140" xfId="214"/>
    <cellStyle name="Comma 140 2" xfId="215"/>
    <cellStyle name="Comma 141" xfId="216"/>
    <cellStyle name="Comma 141 2" xfId="217"/>
    <cellStyle name="Comma 142" xfId="218"/>
    <cellStyle name="Comma 142 2" xfId="219"/>
    <cellStyle name="Comma 143" xfId="220"/>
    <cellStyle name="Comma 143 2" xfId="221"/>
    <cellStyle name="Comma 144" xfId="222"/>
    <cellStyle name="Comma 144 2" xfId="223"/>
    <cellStyle name="Comma 145" xfId="224"/>
    <cellStyle name="Comma 145 2" xfId="225"/>
    <cellStyle name="Comma 146" xfId="226"/>
    <cellStyle name="Comma 146 2" xfId="227"/>
    <cellStyle name="Comma 147" xfId="228"/>
    <cellStyle name="Comma 147 2" xfId="229"/>
    <cellStyle name="Comma 148" xfId="230"/>
    <cellStyle name="Comma 148 2" xfId="231"/>
    <cellStyle name="Comma 149" xfId="232"/>
    <cellStyle name="Comma 149 2" xfId="233"/>
    <cellStyle name="Comma 15" xfId="234"/>
    <cellStyle name="Comma 15 2" xfId="235"/>
    <cellStyle name="Comma 15 2 2" xfId="236"/>
    <cellStyle name="Comma 150" xfId="237"/>
    <cellStyle name="Comma 151" xfId="238"/>
    <cellStyle name="Comma 152" xfId="15"/>
    <cellStyle name="Comma 16" xfId="239"/>
    <cellStyle name="Comma 16 2" xfId="240"/>
    <cellStyle name="Comma 16 2 2" xfId="241"/>
    <cellStyle name="Comma 17" xfId="242"/>
    <cellStyle name="Comma 17 2" xfId="243"/>
    <cellStyle name="Comma 17 2 2" xfId="244"/>
    <cellStyle name="Comma 18" xfId="245"/>
    <cellStyle name="Comma 18 2" xfId="246"/>
    <cellStyle name="Comma 18 2 2" xfId="247"/>
    <cellStyle name="Comma 19" xfId="248"/>
    <cellStyle name="Comma 19 2" xfId="249"/>
    <cellStyle name="Comma 19 2 2" xfId="250"/>
    <cellStyle name="Comma 2" xfId="251"/>
    <cellStyle name="Comma 2 2" xfId="252"/>
    <cellStyle name="Comma 2 2 2" xfId="11"/>
    <cellStyle name="Comma 2 2 2 2" xfId="254"/>
    <cellStyle name="Comma 2 2 2 2 2" xfId="255"/>
    <cellStyle name="Comma 2 2 2 3" xfId="256"/>
    <cellStyle name="Comma 2 2 2 4" xfId="253"/>
    <cellStyle name="Comma 2 2 3" xfId="257"/>
    <cellStyle name="Comma 2 2 3 2" xfId="258"/>
    <cellStyle name="Comma 2 3" xfId="259"/>
    <cellStyle name="Comma 2 3 2" xfId="260"/>
    <cellStyle name="Comma 2 3 2 2" xfId="261"/>
    <cellStyle name="Comma 2 3 2 2 2" xfId="262"/>
    <cellStyle name="Comma 2 3 3" xfId="263"/>
    <cellStyle name="Comma 2 3 3 2" xfId="264"/>
    <cellStyle name="Comma 2 4" xfId="265"/>
    <cellStyle name="Comma 2 4 2" xfId="266"/>
    <cellStyle name="Comma 2 4 2 2" xfId="267"/>
    <cellStyle name="Comma 2 5" xfId="268"/>
    <cellStyle name="Comma 2 5 2" xfId="269"/>
    <cellStyle name="Comma 2 5 2 2" xfId="270"/>
    <cellStyle name="Comma 2 6" xfId="271"/>
    <cellStyle name="Comma 2 6 2" xfId="272"/>
    <cellStyle name="Comma 2 6 2 2" xfId="273"/>
    <cellStyle name="Comma 2 7" xfId="274"/>
    <cellStyle name="Comma 2 7 2" xfId="275"/>
    <cellStyle name="Comma 2 7 2 2" xfId="276"/>
    <cellStyle name="Comma 2 8" xfId="277"/>
    <cellStyle name="Comma 2 8 2" xfId="278"/>
    <cellStyle name="Comma 20" xfId="279"/>
    <cellStyle name="Comma 20 2" xfId="280"/>
    <cellStyle name="Comma 20 2 2" xfId="281"/>
    <cellStyle name="Comma 21" xfId="282"/>
    <cellStyle name="Comma 21 2" xfId="283"/>
    <cellStyle name="Comma 21 2 2" xfId="284"/>
    <cellStyle name="Comma 22" xfId="285"/>
    <cellStyle name="Comma 22 2" xfId="286"/>
    <cellStyle name="Comma 22 2 2" xfId="287"/>
    <cellStyle name="Comma 23" xfId="288"/>
    <cellStyle name="Comma 23 2" xfId="289"/>
    <cellStyle name="Comma 23 2 2" xfId="290"/>
    <cellStyle name="Comma 24" xfId="291"/>
    <cellStyle name="Comma 24 2" xfId="292"/>
    <cellStyle name="Comma 24 2 2" xfId="293"/>
    <cellStyle name="Comma 25" xfId="294"/>
    <cellStyle name="Comma 25 2" xfId="295"/>
    <cellStyle name="Comma 25 2 2" xfId="296"/>
    <cellStyle name="Comma 26" xfId="297"/>
    <cellStyle name="Comma 26 2" xfId="298"/>
    <cellStyle name="Comma 26 2 2" xfId="299"/>
    <cellStyle name="Comma 27" xfId="300"/>
    <cellStyle name="Comma 27 2" xfId="301"/>
    <cellStyle name="Comma 27 2 2" xfId="302"/>
    <cellStyle name="Comma 28" xfId="303"/>
    <cellStyle name="Comma 28 2" xfId="304"/>
    <cellStyle name="Comma 28 2 2" xfId="305"/>
    <cellStyle name="Comma 29" xfId="306"/>
    <cellStyle name="Comma 29 2" xfId="307"/>
    <cellStyle name="Comma 29 2 2" xfId="308"/>
    <cellStyle name="Comma 3" xfId="12"/>
    <cellStyle name="Comma 3 2" xfId="310"/>
    <cellStyle name="Comma 3 2 2" xfId="311"/>
    <cellStyle name="Comma 3 2 2 2" xfId="312"/>
    <cellStyle name="Comma 3 3" xfId="313"/>
    <cellStyle name="Comma 3 3 2" xfId="314"/>
    <cellStyle name="Comma 3 3 2 2" xfId="315"/>
    <cellStyle name="Comma 3 4" xfId="316"/>
    <cellStyle name="Comma 3 4 2" xfId="317"/>
    <cellStyle name="Comma 3 5" xfId="318"/>
    <cellStyle name="Comma 3 6" xfId="309"/>
    <cellStyle name="Comma 30" xfId="319"/>
    <cellStyle name="Comma 30 2" xfId="320"/>
    <cellStyle name="Comma 30 2 2" xfId="321"/>
    <cellStyle name="Comma 31" xfId="322"/>
    <cellStyle name="Comma 31 2" xfId="323"/>
    <cellStyle name="Comma 31 2 2" xfId="324"/>
    <cellStyle name="Comma 32" xfId="325"/>
    <cellStyle name="Comma 32 2" xfId="326"/>
    <cellStyle name="Comma 32 2 2" xfId="327"/>
    <cellStyle name="Comma 33" xfId="328"/>
    <cellStyle name="Comma 33 2" xfId="329"/>
    <cellStyle name="Comma 33 2 2" xfId="330"/>
    <cellStyle name="Comma 34" xfId="331"/>
    <cellStyle name="Comma 34 2" xfId="332"/>
    <cellStyle name="Comma 34 2 2" xfId="333"/>
    <cellStyle name="Comma 35" xfId="334"/>
    <cellStyle name="Comma 35 2" xfId="335"/>
    <cellStyle name="Comma 35 2 2" xfId="336"/>
    <cellStyle name="Comma 36" xfId="337"/>
    <cellStyle name="Comma 36 2" xfId="338"/>
    <cellStyle name="Comma 36 2 2" xfId="339"/>
    <cellStyle name="Comma 37" xfId="340"/>
    <cellStyle name="Comma 37 2" xfId="341"/>
    <cellStyle name="Comma 37 2 2" xfId="342"/>
    <cellStyle name="Comma 38" xfId="343"/>
    <cellStyle name="Comma 38 2" xfId="344"/>
    <cellStyle name="Comma 38 2 2" xfId="345"/>
    <cellStyle name="Comma 39" xfId="346"/>
    <cellStyle name="Comma 39 2" xfId="347"/>
    <cellStyle name="Comma 39 2 2" xfId="348"/>
    <cellStyle name="Comma 4" xfId="349"/>
    <cellStyle name="Comma 4 2" xfId="350"/>
    <cellStyle name="Comma 4 2 2" xfId="351"/>
    <cellStyle name="Comma 4 2 2 2" xfId="352"/>
    <cellStyle name="Comma 4 3" xfId="353"/>
    <cellStyle name="Comma 4 3 2" xfId="354"/>
    <cellStyle name="Comma 40" xfId="355"/>
    <cellStyle name="Comma 40 2" xfId="356"/>
    <cellStyle name="Comma 40 2 2" xfId="357"/>
    <cellStyle name="Comma 41" xfId="358"/>
    <cellStyle name="Comma 41 2" xfId="359"/>
    <cellStyle name="Comma 41 2 2" xfId="360"/>
    <cellStyle name="Comma 42" xfId="361"/>
    <cellStyle name="Comma 42 2" xfId="362"/>
    <cellStyle name="Comma 42 2 2" xfId="363"/>
    <cellStyle name="Comma 43" xfId="364"/>
    <cellStyle name="Comma 43 2" xfId="365"/>
    <cellStyle name="Comma 43 2 2" xfId="366"/>
    <cellStyle name="Comma 44" xfId="367"/>
    <cellStyle name="Comma 44 2" xfId="368"/>
    <cellStyle name="Comma 44 2 2" xfId="369"/>
    <cellStyle name="Comma 45" xfId="370"/>
    <cellStyle name="Comma 45 2" xfId="371"/>
    <cellStyle name="Comma 45 2 2" xfId="372"/>
    <cellStyle name="Comma 46" xfId="373"/>
    <cellStyle name="Comma 46 2" xfId="374"/>
    <cellStyle name="Comma 46 2 2" xfId="375"/>
    <cellStyle name="Comma 47" xfId="376"/>
    <cellStyle name="Comma 47 2" xfId="377"/>
    <cellStyle name="Comma 47 2 2" xfId="378"/>
    <cellStyle name="Comma 48" xfId="379"/>
    <cellStyle name="Comma 48 2" xfId="380"/>
    <cellStyle name="Comma 48 2 2" xfId="381"/>
    <cellStyle name="Comma 49" xfId="382"/>
    <cellStyle name="Comma 49 2" xfId="383"/>
    <cellStyle name="Comma 49 2 2" xfId="384"/>
    <cellStyle name="Comma 5" xfId="385"/>
    <cellStyle name="Comma 5 2" xfId="386"/>
    <cellStyle name="Comma 5 2 2" xfId="387"/>
    <cellStyle name="Comma 5 2 2 2" xfId="388"/>
    <cellStyle name="Comma 5 3" xfId="389"/>
    <cellStyle name="Comma 5 3 2" xfId="390"/>
    <cellStyle name="Comma 50" xfId="391"/>
    <cellStyle name="Comma 50 2" xfId="392"/>
    <cellStyle name="Comma 50 2 2" xfId="393"/>
    <cellStyle name="Comma 51" xfId="394"/>
    <cellStyle name="Comma 51 2" xfId="395"/>
    <cellStyle name="Comma 51 2 2" xfId="396"/>
    <cellStyle name="Comma 52" xfId="397"/>
    <cellStyle name="Comma 52 2" xfId="398"/>
    <cellStyle name="Comma 52 2 2" xfId="399"/>
    <cellStyle name="Comma 53" xfId="400"/>
    <cellStyle name="Comma 53 2" xfId="401"/>
    <cellStyle name="Comma 53 2 2" xfId="402"/>
    <cellStyle name="Comma 54" xfId="403"/>
    <cellStyle name="Comma 54 2" xfId="404"/>
    <cellStyle name="Comma 54 2 2" xfId="405"/>
    <cellStyle name="Comma 55" xfId="406"/>
    <cellStyle name="Comma 55 2" xfId="407"/>
    <cellStyle name="Comma 55 2 2" xfId="408"/>
    <cellStyle name="Comma 56" xfId="409"/>
    <cellStyle name="Comma 56 2" xfId="410"/>
    <cellStyle name="Comma 56 2 2" xfId="411"/>
    <cellStyle name="Comma 57" xfId="412"/>
    <cellStyle name="Comma 57 2" xfId="413"/>
    <cellStyle name="Comma 57 2 2" xfId="414"/>
    <cellStyle name="Comma 58" xfId="415"/>
    <cellStyle name="Comma 58 2" xfId="416"/>
    <cellStyle name="Comma 58 2 2" xfId="417"/>
    <cellStyle name="Comma 59" xfId="418"/>
    <cellStyle name="Comma 59 2" xfId="419"/>
    <cellStyle name="Comma 59 2 2" xfId="420"/>
    <cellStyle name="Comma 6" xfId="421"/>
    <cellStyle name="Comma 6 2" xfId="422"/>
    <cellStyle name="Comma 6 2 2" xfId="423"/>
    <cellStyle name="Comma 6 2 2 2" xfId="424"/>
    <cellStyle name="Comma 6 3" xfId="425"/>
    <cellStyle name="Comma 6 3 2" xfId="426"/>
    <cellStyle name="Comma 60" xfId="427"/>
    <cellStyle name="Comma 60 2" xfId="428"/>
    <cellStyle name="Comma 60 2 2" xfId="429"/>
    <cellStyle name="Comma 61" xfId="430"/>
    <cellStyle name="Comma 61 2" xfId="431"/>
    <cellStyle name="Comma 61 2 2" xfId="432"/>
    <cellStyle name="Comma 62" xfId="433"/>
    <cellStyle name="Comma 62 2" xfId="434"/>
    <cellStyle name="Comma 62 2 2" xfId="435"/>
    <cellStyle name="Comma 63" xfId="436"/>
    <cellStyle name="Comma 63 2" xfId="437"/>
    <cellStyle name="Comma 63 2 2" xfId="438"/>
    <cellStyle name="Comma 64" xfId="439"/>
    <cellStyle name="Comma 64 2" xfId="440"/>
    <cellStyle name="Comma 64 2 2" xfId="441"/>
    <cellStyle name="Comma 65" xfId="442"/>
    <cellStyle name="Comma 65 2" xfId="443"/>
    <cellStyle name="Comma 65 2 2" xfId="444"/>
    <cellStyle name="Comma 66" xfId="445"/>
    <cellStyle name="Comma 66 2" xfId="446"/>
    <cellStyle name="Comma 66 2 2" xfId="447"/>
    <cellStyle name="Comma 67" xfId="448"/>
    <cellStyle name="Comma 67 2" xfId="449"/>
    <cellStyle name="Comma 67 2 2" xfId="450"/>
    <cellStyle name="Comma 68" xfId="451"/>
    <cellStyle name="Comma 68 2" xfId="452"/>
    <cellStyle name="Comma 68 2 2" xfId="453"/>
    <cellStyle name="Comma 69" xfId="454"/>
    <cellStyle name="Comma 69 2" xfId="455"/>
    <cellStyle name="Comma 69 2 2" xfId="456"/>
    <cellStyle name="Comma 7" xfId="457"/>
    <cellStyle name="Comma 7 2" xfId="458"/>
    <cellStyle name="Comma 7 2 2" xfId="459"/>
    <cellStyle name="Comma 7 2 2 2" xfId="460"/>
    <cellStyle name="Comma 7 3" xfId="461"/>
    <cellStyle name="Comma 7 3 2" xfId="462"/>
    <cellStyle name="Comma 70" xfId="463"/>
    <cellStyle name="Comma 70 2" xfId="464"/>
    <cellStyle name="Comma 70 2 2" xfId="465"/>
    <cellStyle name="Comma 71" xfId="466"/>
    <cellStyle name="Comma 71 2" xfId="467"/>
    <cellStyle name="Comma 71 2 2" xfId="468"/>
    <cellStyle name="Comma 72" xfId="469"/>
    <cellStyle name="Comma 72 2" xfId="470"/>
    <cellStyle name="Comma 72 2 2" xfId="471"/>
    <cellStyle name="Comma 73" xfId="472"/>
    <cellStyle name="Comma 73 2" xfId="473"/>
    <cellStyle name="Comma 73 2 2" xfId="474"/>
    <cellStyle name="Comma 74" xfId="475"/>
    <cellStyle name="Comma 74 2" xfId="476"/>
    <cellStyle name="Comma 74 2 2" xfId="477"/>
    <cellStyle name="Comma 75" xfId="478"/>
    <cellStyle name="Comma 75 2" xfId="479"/>
    <cellStyle name="Comma 75 2 2" xfId="480"/>
    <cellStyle name="Comma 76" xfId="481"/>
    <cellStyle name="Comma 76 2" xfId="482"/>
    <cellStyle name="Comma 76 2 2" xfId="483"/>
    <cellStyle name="Comma 77" xfId="484"/>
    <cellStyle name="Comma 77 2" xfId="485"/>
    <cellStyle name="Comma 77 2 2" xfId="486"/>
    <cellStyle name="Comma 78" xfId="487"/>
    <cellStyle name="Comma 78 2" xfId="488"/>
    <cellStyle name="Comma 78 2 2" xfId="489"/>
    <cellStyle name="Comma 79" xfId="490"/>
    <cellStyle name="Comma 79 2" xfId="491"/>
    <cellStyle name="Comma 79 2 2" xfId="492"/>
    <cellStyle name="Comma 8" xfId="493"/>
    <cellStyle name="Comma 8 2" xfId="494"/>
    <cellStyle name="Comma 8 2 2" xfId="495"/>
    <cellStyle name="Comma 8 2 2 2" xfId="496"/>
    <cellStyle name="Comma 8 3" xfId="497"/>
    <cellStyle name="Comma 8 3 2" xfId="498"/>
    <cellStyle name="Comma 80" xfId="499"/>
    <cellStyle name="Comma 80 2" xfId="500"/>
    <cellStyle name="Comma 80 2 2" xfId="501"/>
    <cellStyle name="Comma 81" xfId="502"/>
    <cellStyle name="Comma 81 2" xfId="503"/>
    <cellStyle name="Comma 81 2 2" xfId="504"/>
    <cellStyle name="Comma 82" xfId="505"/>
    <cellStyle name="Comma 82 2" xfId="506"/>
    <cellStyle name="Comma 82 2 2" xfId="507"/>
    <cellStyle name="Comma 83" xfId="508"/>
    <cellStyle name="Comma 83 2" xfId="509"/>
    <cellStyle name="Comma 83 2 2" xfId="510"/>
    <cellStyle name="Comma 84" xfId="511"/>
    <cellStyle name="Comma 84 2" xfId="512"/>
    <cellStyle name="Comma 84 2 2" xfId="513"/>
    <cellStyle name="Comma 85" xfId="514"/>
    <cellStyle name="Comma 85 2" xfId="515"/>
    <cellStyle name="Comma 85 2 2" xfId="516"/>
    <cellStyle name="Comma 86" xfId="517"/>
    <cellStyle name="Comma 86 2" xfId="518"/>
    <cellStyle name="Comma 86 2 2" xfId="519"/>
    <cellStyle name="Comma 87" xfId="520"/>
    <cellStyle name="Comma 87 2" xfId="521"/>
    <cellStyle name="Comma 87 2 2" xfId="522"/>
    <cellStyle name="Comma 88" xfId="523"/>
    <cellStyle name="Comma 88 2" xfId="524"/>
    <cellStyle name="Comma 88 2 2" xfId="525"/>
    <cellStyle name="Comma 89" xfId="526"/>
    <cellStyle name="Comma 89 2" xfId="527"/>
    <cellStyle name="Comma 89 2 2" xfId="528"/>
    <cellStyle name="Comma 9" xfId="529"/>
    <cellStyle name="Comma 9 2" xfId="530"/>
    <cellStyle name="Comma 9 2 2" xfId="531"/>
    <cellStyle name="Comma 9 2 2 2" xfId="532"/>
    <cellStyle name="Comma 9 3" xfId="533"/>
    <cellStyle name="Comma 9 3 2" xfId="534"/>
    <cellStyle name="Comma 90" xfId="535"/>
    <cellStyle name="Comma 90 2" xfId="536"/>
    <cellStyle name="Comma 90 2 2" xfId="537"/>
    <cellStyle name="Comma 91" xfId="538"/>
    <cellStyle name="Comma 91 2" xfId="539"/>
    <cellStyle name="Comma 91 2 2" xfId="540"/>
    <cellStyle name="Comma 92" xfId="541"/>
    <cellStyle name="Comma 92 2" xfId="542"/>
    <cellStyle name="Comma 92 2 2" xfId="543"/>
    <cellStyle name="Comma 93" xfId="544"/>
    <cellStyle name="Comma 93 2" xfId="545"/>
    <cellStyle name="Comma 93 2 2" xfId="546"/>
    <cellStyle name="Comma 94" xfId="547"/>
    <cellStyle name="Comma 94 2" xfId="548"/>
    <cellStyle name="Comma 94 2 2" xfId="549"/>
    <cellStyle name="Comma 95" xfId="550"/>
    <cellStyle name="Comma 95 2" xfId="551"/>
    <cellStyle name="Comma 95 2 2" xfId="552"/>
    <cellStyle name="Comma 96" xfId="553"/>
    <cellStyle name="Comma 96 2" xfId="554"/>
    <cellStyle name="Comma 96 2 2" xfId="555"/>
    <cellStyle name="Comma 97" xfId="556"/>
    <cellStyle name="Comma 97 2" xfId="557"/>
    <cellStyle name="Comma 97 2 2" xfId="558"/>
    <cellStyle name="Comma 98" xfId="559"/>
    <cellStyle name="Comma 98 2" xfId="560"/>
    <cellStyle name="Comma 98 2 2" xfId="561"/>
    <cellStyle name="Comma 99" xfId="562"/>
    <cellStyle name="Comma 99 2" xfId="563"/>
    <cellStyle name="Comma 99 2 2" xfId="564"/>
    <cellStyle name="Explanatory Text 2" xfId="565"/>
    <cellStyle name="Good 2" xfId="566"/>
    <cellStyle name="Heading 1 2" xfId="567"/>
    <cellStyle name="Heading 2 2" xfId="568"/>
    <cellStyle name="Heading 3 2" xfId="569"/>
    <cellStyle name="Heading 4 2" xfId="570"/>
    <cellStyle name="Hyperlink" xfId="10" builtinId="8"/>
    <cellStyle name="Hyperlink 2" xfId="571"/>
    <cellStyle name="Hyperlink 2 2" xfId="572"/>
    <cellStyle name="Hyperlink 3" xfId="17"/>
    <cellStyle name="Input 2" xfId="573"/>
    <cellStyle name="Linked Cell 2" xfId="574"/>
    <cellStyle name="Neutral 2" xfId="575"/>
    <cellStyle name="Normal" xfId="0" builtinId="0"/>
    <cellStyle name="Normal 10" xfId="576"/>
    <cellStyle name="Normal 10 2" xfId="577"/>
    <cellStyle name="Normal 10 3" xfId="578"/>
    <cellStyle name="Normal 10 4" xfId="579"/>
    <cellStyle name="Normal 100" xfId="580"/>
    <cellStyle name="Normal 101" xfId="581"/>
    <cellStyle name="Normal 102" xfId="582"/>
    <cellStyle name="Normal 103" xfId="583"/>
    <cellStyle name="Normal 104" xfId="584"/>
    <cellStyle name="Normal 105" xfId="585"/>
    <cellStyle name="Normal 106" xfId="586"/>
    <cellStyle name="Normal 107" xfId="587"/>
    <cellStyle name="Normal 108" xfId="588"/>
    <cellStyle name="Normal 109" xfId="589"/>
    <cellStyle name="Normal 11" xfId="590"/>
    <cellStyle name="Normal 11 2" xfId="591"/>
    <cellStyle name="Normal 11 3" xfId="592"/>
    <cellStyle name="Normal 11 4" xfId="593"/>
    <cellStyle name="Normal 110" xfId="594"/>
    <cellStyle name="Normal 111" xfId="595"/>
    <cellStyle name="Normal 112" xfId="596"/>
    <cellStyle name="Normal 113" xfId="597"/>
    <cellStyle name="Normal 114" xfId="598"/>
    <cellStyle name="Normal 115" xfId="599"/>
    <cellStyle name="Normal 116" xfId="600"/>
    <cellStyle name="Normal 117" xfId="601"/>
    <cellStyle name="Normal 118" xfId="602"/>
    <cellStyle name="Normal 119" xfId="603"/>
    <cellStyle name="Normal 12" xfId="604"/>
    <cellStyle name="Normal 12 2" xfId="605"/>
    <cellStyle name="Normal 12 3" xfId="606"/>
    <cellStyle name="Normal 12 4" xfId="607"/>
    <cellStyle name="Normal 120" xfId="608"/>
    <cellStyle name="Normal 121" xfId="609"/>
    <cellStyle name="Normal 122" xfId="610"/>
    <cellStyle name="Normal 123" xfId="611"/>
    <cellStyle name="Normal 124" xfId="612"/>
    <cellStyle name="Normal 125" xfId="613"/>
    <cellStyle name="Normal 126" xfId="14"/>
    <cellStyle name="Normal 127" xfId="951"/>
    <cellStyle name="Normal 13" xfId="614"/>
    <cellStyle name="Normal 13 2" xfId="615"/>
    <cellStyle name="Normal 13 3" xfId="616"/>
    <cellStyle name="Normal 13 4" xfId="617"/>
    <cellStyle name="Normal 14" xfId="618"/>
    <cellStyle name="Normal 14 2" xfId="619"/>
    <cellStyle name="Normal 14 3" xfId="620"/>
    <cellStyle name="Normal 14 4" xfId="621"/>
    <cellStyle name="Normal 14 5" xfId="622"/>
    <cellStyle name="Normal 15" xfId="623"/>
    <cellStyle name="Normal 15 2" xfId="13"/>
    <cellStyle name="Normal 15 2 2" xfId="625"/>
    <cellStyle name="Normal 15 2 3" xfId="624"/>
    <cellStyle name="Normal 15 3" xfId="626"/>
    <cellStyle name="Normal 15 4" xfId="627"/>
    <cellStyle name="Normal 16" xfId="628"/>
    <cellStyle name="Normal 16 2" xfId="629"/>
    <cellStyle name="Normal 16 3" xfId="630"/>
    <cellStyle name="Normal 16 4" xfId="631"/>
    <cellStyle name="Normal 17" xfId="632"/>
    <cellStyle name="Normal 17 2" xfId="633"/>
    <cellStyle name="Normal 17 3" xfId="634"/>
    <cellStyle name="Normal 17 4" xfId="635"/>
    <cellStyle name="Normal 18" xfId="636"/>
    <cellStyle name="Normal 18 2" xfId="637"/>
    <cellStyle name="Normal 18 3" xfId="638"/>
    <cellStyle name="Normal 18 4" xfId="639"/>
    <cellStyle name="Normal 19" xfId="640"/>
    <cellStyle name="Normal 19 2" xfId="641"/>
    <cellStyle name="Normal 19 3" xfId="642"/>
    <cellStyle name="Normal 19 4" xfId="643"/>
    <cellStyle name="Normal 2" xfId="644"/>
    <cellStyle name="Normal 2 2" xfId="1"/>
    <cellStyle name="Normal 2 2 2" xfId="646"/>
    <cellStyle name="Normal 2 2 3" xfId="647"/>
    <cellStyle name="Normal 2 2 4" xfId="645"/>
    <cellStyle name="Normal 2 3" xfId="648"/>
    <cellStyle name="Normal 2 3 2" xfId="649"/>
    <cellStyle name="Normal 2 4" xfId="650"/>
    <cellStyle name="Normal 2 5" xfId="651"/>
    <cellStyle name="Normal 2 6" xfId="652"/>
    <cellStyle name="Normal 2 7" xfId="653"/>
    <cellStyle name="Normal 2 8" xfId="654"/>
    <cellStyle name="Normal 20" xfId="655"/>
    <cellStyle name="Normal 20 2" xfId="656"/>
    <cellStyle name="Normal 20 3" xfId="657"/>
    <cellStyle name="Normal 20 4" xfId="658"/>
    <cellStyle name="Normal 21" xfId="659"/>
    <cellStyle name="Normal 21 2" xfId="660"/>
    <cellStyle name="Normal 21 3" xfId="661"/>
    <cellStyle name="Normal 21 4" xfId="662"/>
    <cellStyle name="Normal 22" xfId="663"/>
    <cellStyle name="Normal 22 2" xfId="664"/>
    <cellStyle name="Normal 22 3" xfId="665"/>
    <cellStyle name="Normal 22 4" xfId="666"/>
    <cellStyle name="Normal 23" xfId="667"/>
    <cellStyle name="Normal 23 2" xfId="668"/>
    <cellStyle name="Normal 23 3" xfId="669"/>
    <cellStyle name="Normal 23 4" xfId="670"/>
    <cellStyle name="Normal 24" xfId="671"/>
    <cellStyle name="Normal 24 2" xfId="672"/>
    <cellStyle name="Normal 24 3" xfId="673"/>
    <cellStyle name="Normal 24 4" xfId="674"/>
    <cellStyle name="Normal 25" xfId="675"/>
    <cellStyle name="Normal 25 2" xfId="676"/>
    <cellStyle name="Normal 25 3" xfId="677"/>
    <cellStyle name="Normal 25 4" xfId="678"/>
    <cellStyle name="Normal 26" xfId="679"/>
    <cellStyle name="Normal 26 2" xfId="680"/>
    <cellStyle name="Normal 26 3" xfId="681"/>
    <cellStyle name="Normal 26 4" xfId="682"/>
    <cellStyle name="Normal 27" xfId="683"/>
    <cellStyle name="Normal 27 2" xfId="684"/>
    <cellStyle name="Normal 27 3" xfId="685"/>
    <cellStyle name="Normal 27 4" xfId="686"/>
    <cellStyle name="Normal 28" xfId="687"/>
    <cellStyle name="Normal 28 2" xfId="688"/>
    <cellStyle name="Normal 28 3" xfId="689"/>
    <cellStyle name="Normal 28 4" xfId="690"/>
    <cellStyle name="Normal 29" xfId="691"/>
    <cellStyle name="Normal 29 2" xfId="692"/>
    <cellStyle name="Normal 29 3" xfId="693"/>
    <cellStyle name="Normal 29 4" xfId="694"/>
    <cellStyle name="Normal 3" xfId="695"/>
    <cellStyle name="Normal 3 2" xfId="696"/>
    <cellStyle name="Normal 3 3" xfId="697"/>
    <cellStyle name="Normal 3 4" xfId="698"/>
    <cellStyle name="Normal 3 5" xfId="699"/>
    <cellStyle name="Normal 3 6" xfId="700"/>
    <cellStyle name="Normal 3 7" xfId="701"/>
    <cellStyle name="Normal 3 8" xfId="702"/>
    <cellStyle name="Normal 30" xfId="703"/>
    <cellStyle name="Normal 30 2" xfId="704"/>
    <cellStyle name="Normal 30 3" xfId="705"/>
    <cellStyle name="Normal 30 4" xfId="706"/>
    <cellStyle name="Normal 31" xfId="707"/>
    <cellStyle name="Normal 31 2" xfId="708"/>
    <cellStyle name="Normal 31 3" xfId="709"/>
    <cellStyle name="Normal 31 4" xfId="710"/>
    <cellStyle name="Normal 32" xfId="711"/>
    <cellStyle name="Normal 32 2" xfId="712"/>
    <cellStyle name="Normal 32 3" xfId="713"/>
    <cellStyle name="Normal 32 4" xfId="714"/>
    <cellStyle name="Normal 33" xfId="715"/>
    <cellStyle name="Normal 33 2" xfId="716"/>
    <cellStyle name="Normal 33 3" xfId="717"/>
    <cellStyle name="Normal 33 4" xfId="718"/>
    <cellStyle name="Normal 34" xfId="719"/>
    <cellStyle name="Normal 34 2" xfId="720"/>
    <cellStyle name="Normal 34 3" xfId="721"/>
    <cellStyle name="Normal 34 4" xfId="722"/>
    <cellStyle name="Normal 35" xfId="723"/>
    <cellStyle name="Normal 35 2" xfId="724"/>
    <cellStyle name="Normal 35 3" xfId="725"/>
    <cellStyle name="Normal 35 4" xfId="726"/>
    <cellStyle name="Normal 36" xfId="727"/>
    <cellStyle name="Normal 36 2" xfId="728"/>
    <cellStyle name="Normal 36 3" xfId="729"/>
    <cellStyle name="Normal 36 4" xfId="730"/>
    <cellStyle name="Normal 37" xfId="731"/>
    <cellStyle name="Normal 37 2" xfId="732"/>
    <cellStyle name="Normal 37 3" xfId="733"/>
    <cellStyle name="Normal 37 4" xfId="734"/>
    <cellStyle name="Normal 38" xfId="735"/>
    <cellStyle name="Normal 38 2" xfId="736"/>
    <cellStyle name="Normal 38 3" xfId="737"/>
    <cellStyle name="Normal 38 4" xfId="738"/>
    <cellStyle name="Normal 39" xfId="739"/>
    <cellStyle name="Normal 39 2" xfId="740"/>
    <cellStyle name="Normal 39 3" xfId="741"/>
    <cellStyle name="Normal 39 4" xfId="742"/>
    <cellStyle name="Normal 4" xfId="743"/>
    <cellStyle name="Normal 4 2" xfId="744"/>
    <cellStyle name="Normal 4 3" xfId="745"/>
    <cellStyle name="Normal 4 4" xfId="746"/>
    <cellStyle name="Normal 4 5" xfId="747"/>
    <cellStyle name="Normal 4 6" xfId="748"/>
    <cellStyle name="Normal 4 7" xfId="749"/>
    <cellStyle name="Normal 4 8" xfId="750"/>
    <cellStyle name="Normal 4 9" xfId="751"/>
    <cellStyle name="Normal 40" xfId="752"/>
    <cellStyle name="Normal 40 2" xfId="753"/>
    <cellStyle name="Normal 40 3" xfId="754"/>
    <cellStyle name="Normal 40 4" xfId="755"/>
    <cellStyle name="Normal 41" xfId="756"/>
    <cellStyle name="Normal 41 2" xfId="757"/>
    <cellStyle name="Normal 41 3" xfId="758"/>
    <cellStyle name="Normal 41 4" xfId="759"/>
    <cellStyle name="Normal 42" xfId="760"/>
    <cellStyle name="Normal 42 2" xfId="761"/>
    <cellStyle name="Normal 42 3" xfId="762"/>
    <cellStyle name="Normal 42 4" xfId="763"/>
    <cellStyle name="Normal 43" xfId="764"/>
    <cellStyle name="Normal 43 2" xfId="765"/>
    <cellStyle name="Normal 43 3" xfId="766"/>
    <cellStyle name="Normal 43 4" xfId="767"/>
    <cellStyle name="Normal 44" xfId="768"/>
    <cellStyle name="Normal 44 2" xfId="769"/>
    <cellStyle name="Normal 44 3" xfId="770"/>
    <cellStyle name="Normal 44 4" xfId="771"/>
    <cellStyle name="Normal 45" xfId="772"/>
    <cellStyle name="Normal 45 2" xfId="773"/>
    <cellStyle name="Normal 45 3" xfId="774"/>
    <cellStyle name="Normal 45 4" xfId="775"/>
    <cellStyle name="Normal 46" xfId="776"/>
    <cellStyle name="Normal 46 2" xfId="777"/>
    <cellStyle name="Normal 46 3" xfId="778"/>
    <cellStyle name="Normal 46 4" xfId="779"/>
    <cellStyle name="Normal 47" xfId="780"/>
    <cellStyle name="Normal 47 2" xfId="781"/>
    <cellStyle name="Normal 47 3" xfId="782"/>
    <cellStyle name="Normal 47 4" xfId="783"/>
    <cellStyle name="Normal 48" xfId="784"/>
    <cellStyle name="Normal 48 2" xfId="785"/>
    <cellStyle name="Normal 48 3" xfId="786"/>
    <cellStyle name="Normal 48 4" xfId="787"/>
    <cellStyle name="Normal 49" xfId="788"/>
    <cellStyle name="Normal 49 2" xfId="789"/>
    <cellStyle name="Normal 49 3" xfId="790"/>
    <cellStyle name="Normal 49 4" xfId="791"/>
    <cellStyle name="Normal 5" xfId="792"/>
    <cellStyle name="Normal 5 2" xfId="793"/>
    <cellStyle name="Normal 5 2 2" xfId="794"/>
    <cellStyle name="Normal 5 2 3" xfId="795"/>
    <cellStyle name="Normal 5 3" xfId="796"/>
    <cellStyle name="Normal 5 4" xfId="797"/>
    <cellStyle name="Normal 5 5" xfId="798"/>
    <cellStyle name="Normal 5 6" xfId="799"/>
    <cellStyle name="Normal 5 7" xfId="800"/>
    <cellStyle name="Normal 50" xfId="801"/>
    <cellStyle name="Normal 50 2" xfId="802"/>
    <cellStyle name="Normal 50 3" xfId="803"/>
    <cellStyle name="Normal 50 4" xfId="804"/>
    <cellStyle name="Normal 51" xfId="805"/>
    <cellStyle name="Normal 51 2" xfId="806"/>
    <cellStyle name="Normal 51 3" xfId="807"/>
    <cellStyle name="Normal 51 4" xfId="808"/>
    <cellStyle name="Normal 52" xfId="809"/>
    <cellStyle name="Normal 52 2" xfId="810"/>
    <cellStyle name="Normal 52 3" xfId="811"/>
    <cellStyle name="Normal 52 4" xfId="812"/>
    <cellStyle name="Normal 53" xfId="813"/>
    <cellStyle name="Normal 53 2" xfId="814"/>
    <cellStyle name="Normal 53 3" xfId="815"/>
    <cellStyle name="Normal 53 4" xfId="816"/>
    <cellStyle name="Normal 54" xfId="817"/>
    <cellStyle name="Normal 54 2" xfId="818"/>
    <cellStyle name="Normal 54 3" xfId="819"/>
    <cellStyle name="Normal 54 4" xfId="820"/>
    <cellStyle name="Normal 55" xfId="821"/>
    <cellStyle name="Normal 55 2" xfId="822"/>
    <cellStyle name="Normal 55 3" xfId="823"/>
    <cellStyle name="Normal 55 4" xfId="824"/>
    <cellStyle name="Normal 56" xfId="825"/>
    <cellStyle name="Normal 56 2" xfId="826"/>
    <cellStyle name="Normal 56 3" xfId="827"/>
    <cellStyle name="Normal 56 4" xfId="828"/>
    <cellStyle name="Normal 57" xfId="829"/>
    <cellStyle name="Normal 57 2" xfId="830"/>
    <cellStyle name="Normal 57 3" xfId="831"/>
    <cellStyle name="Normal 57 4" xfId="832"/>
    <cellStyle name="Normal 58" xfId="833"/>
    <cellStyle name="Normal 58 2" xfId="834"/>
    <cellStyle name="Normal 58 3" xfId="835"/>
    <cellStyle name="Normal 58 4" xfId="836"/>
    <cellStyle name="Normal 59" xfId="837"/>
    <cellStyle name="Normal 59 2" xfId="838"/>
    <cellStyle name="Normal 59 3" xfId="839"/>
    <cellStyle name="Normal 59 4" xfId="840"/>
    <cellStyle name="Normal 6" xfId="841"/>
    <cellStyle name="Normal 6 2" xfId="842"/>
    <cellStyle name="Normal 6 3" xfId="843"/>
    <cellStyle name="Normal 6 4" xfId="844"/>
    <cellStyle name="Normal 60" xfId="845"/>
    <cellStyle name="Normal 60 2" xfId="846"/>
    <cellStyle name="Normal 60 3" xfId="847"/>
    <cellStyle name="Normal 60 4" xfId="848"/>
    <cellStyle name="Normal 61" xfId="849"/>
    <cellStyle name="Normal 61 2" xfId="850"/>
    <cellStyle name="Normal 61 3" xfId="851"/>
    <cellStyle name="Normal 61 4" xfId="852"/>
    <cellStyle name="Normal 62" xfId="853"/>
    <cellStyle name="Normal 62 2" xfId="854"/>
    <cellStyle name="Normal 62 3" xfId="855"/>
    <cellStyle name="Normal 62 4" xfId="856"/>
    <cellStyle name="Normal 63" xfId="857"/>
    <cellStyle name="Normal 63 2" xfId="858"/>
    <cellStyle name="Normal 63 3" xfId="859"/>
    <cellStyle name="Normal 63 4" xfId="860"/>
    <cellStyle name="Normal 64" xfId="861"/>
    <cellStyle name="Normal 64 2" xfId="862"/>
    <cellStyle name="Normal 64 3" xfId="863"/>
    <cellStyle name="Normal 65" xfId="864"/>
    <cellStyle name="Normal 65 2" xfId="865"/>
    <cellStyle name="Normal 65 3" xfId="866"/>
    <cellStyle name="Normal 66" xfId="867"/>
    <cellStyle name="Normal 66 2" xfId="868"/>
    <cellStyle name="Normal 66 3" xfId="869"/>
    <cellStyle name="Normal 67" xfId="870"/>
    <cellStyle name="Normal 67 2" xfId="871"/>
    <cellStyle name="Normal 67 3" xfId="872"/>
    <cellStyle name="Normal 68" xfId="873"/>
    <cellStyle name="Normal 68 2" xfId="874"/>
    <cellStyle name="Normal 68 3" xfId="875"/>
    <cellStyle name="Normal 69" xfId="876"/>
    <cellStyle name="Normal 69 2" xfId="877"/>
    <cellStyle name="Normal 69 3" xfId="878"/>
    <cellStyle name="Normal 7" xfId="879"/>
    <cellStyle name="Normal 7 2" xfId="880"/>
    <cellStyle name="Normal 7 3" xfId="881"/>
    <cellStyle name="Normal 7 4" xfId="882"/>
    <cellStyle name="Normal 7 5" xfId="883"/>
    <cellStyle name="Normal 70" xfId="884"/>
    <cellStyle name="Normal 70 2" xfId="885"/>
    <cellStyle name="Normal 70 3" xfId="886"/>
    <cellStyle name="Normal 71" xfId="887"/>
    <cellStyle name="Normal 71 2" xfId="888"/>
    <cellStyle name="Normal 71 3" xfId="889"/>
    <cellStyle name="Normal 72" xfId="890"/>
    <cellStyle name="Normal 72 2" xfId="891"/>
    <cellStyle name="Normal 72 3" xfId="892"/>
    <cellStyle name="Normal 73" xfId="893"/>
    <cellStyle name="Normal 73 2" xfId="894"/>
    <cellStyle name="Normal 73 3" xfId="895"/>
    <cellStyle name="Normal 74" xfId="896"/>
    <cellStyle name="Normal 74 2" xfId="897"/>
    <cellStyle name="Normal 74 3" xfId="898"/>
    <cellStyle name="Normal 75" xfId="899"/>
    <cellStyle name="Normal 75 2" xfId="900"/>
    <cellStyle name="Normal 75 3" xfId="901"/>
    <cellStyle name="Normal 76" xfId="902"/>
    <cellStyle name="Normal 76 2" xfId="903"/>
    <cellStyle name="Normal 76 3" xfId="904"/>
    <cellStyle name="Normal 77" xfId="905"/>
    <cellStyle name="Normal 77 2" xfId="906"/>
    <cellStyle name="Normal 77 3" xfId="907"/>
    <cellStyle name="Normal 78" xfId="908"/>
    <cellStyle name="Normal 78 2" xfId="909"/>
    <cellStyle name="Normal 78 3" xfId="910"/>
    <cellStyle name="Normal 79" xfId="911"/>
    <cellStyle name="Normal 79 2" xfId="912"/>
    <cellStyle name="Normal 79 3" xfId="913"/>
    <cellStyle name="Normal 8" xfId="914"/>
    <cellStyle name="Normal 8 2" xfId="915"/>
    <cellStyle name="Normal 8 3" xfId="916"/>
    <cellStyle name="Normal 8 4" xfId="917"/>
    <cellStyle name="Normal 8 5" xfId="918"/>
    <cellStyle name="Normal 80" xfId="919"/>
    <cellStyle name="Normal 80 2" xfId="920"/>
    <cellStyle name="Normal 81" xfId="921"/>
    <cellStyle name="Normal 81 2" xfId="922"/>
    <cellStyle name="Normal 82" xfId="923"/>
    <cellStyle name="Normal 83" xfId="924"/>
    <cellStyle name="Normal 84" xfId="925"/>
    <cellStyle name="Normal 85" xfId="926"/>
    <cellStyle name="Normal 86" xfId="927"/>
    <cellStyle name="Normal 87" xfId="928"/>
    <cellStyle name="Normal 88" xfId="929"/>
    <cellStyle name="Normal 89" xfId="930"/>
    <cellStyle name="Normal 9" xfId="931"/>
    <cellStyle name="Normal 9 2" xfId="932"/>
    <cellStyle name="Normal 9 3" xfId="933"/>
    <cellStyle name="Normal 9 4" xfId="934"/>
    <cellStyle name="Normal 90" xfId="935"/>
    <cellStyle name="Normal 91" xfId="936"/>
    <cellStyle name="Normal 92" xfId="937"/>
    <cellStyle name="Normal 93" xfId="938"/>
    <cellStyle name="Normal 94" xfId="939"/>
    <cellStyle name="Normal 95" xfId="940"/>
    <cellStyle name="Normal 96" xfId="941"/>
    <cellStyle name="Normal 97" xfId="942"/>
    <cellStyle name="Normal 98" xfId="943"/>
    <cellStyle name="Normal 99" xfId="944"/>
    <cellStyle name="Normal_NBM 2000 (titip)" xfId="8"/>
    <cellStyle name="Normal_NBM 2000 (titip) 2 2" xfId="9"/>
    <cellStyle name="Normal_Tabel 2006 - Angka Sementara 2 2 2" xfId="3"/>
    <cellStyle name="Note 2" xfId="945"/>
    <cellStyle name="Output 2" xfId="946"/>
    <cellStyle name="Percent" xfId="6" builtinId="5"/>
    <cellStyle name="Percent 2" xfId="947"/>
    <cellStyle name="Percent 2 2 2" xfId="7"/>
    <cellStyle name="Title 2" xfId="948"/>
    <cellStyle name="Total 2" xfId="949"/>
    <cellStyle name="Warning Text 2" xfId="95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Kandungan Gizi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5\Pokja%20Neraca\NBM\Template\Template%20NBM%20Daerah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oh"/>
      <sheetName val="Produksi"/>
      <sheetName val="Stock"/>
      <sheetName val="Impor"/>
      <sheetName val="Ekspor"/>
      <sheetName val="Industrial Non pangan"/>
      <sheetName val=" Industri Pangan "/>
      <sheetName val="turis"/>
      <sheetName val="Tabel NBM"/>
      <sheetName val="PPH"/>
      <sheetName val="ESTIMASI  Ekspor Impor"/>
      <sheetName val="Tabel NBM Revisi"/>
      <sheetName val="PPH NBM Revisi"/>
    </sheetNames>
    <sheetDataSet>
      <sheetData sheetId="0"/>
      <sheetData sheetId="1">
        <row r="3">
          <cell r="A3" t="str">
            <v xml:space="preserve">TAHUN </v>
          </cell>
        </row>
      </sheetData>
      <sheetData sheetId="2"/>
      <sheetData sheetId="3"/>
      <sheetData sheetId="4"/>
      <sheetData sheetId="5"/>
      <sheetData sheetId="6">
        <row r="183">
          <cell r="E183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 S I" id="{A9D7B5B9-4035-4B75-942E-89700B36BE97}" userId="M S I" providerId="None"/>
  <person displayName="MSI MODERN" id="{6A4B124E-1737-413C-9509-4D3CD3CC1DF0}" userId="173c1bfc7603a287" providerId="Windows Live"/>
</personList>
</file>

<file path=xl/tables/table1.xml><?xml version="1.0" encoding="utf-8"?>
<table xmlns="http://schemas.openxmlformats.org/spreadsheetml/2006/main" id="1" name="Table_1" displayName="Table_1" ref="AE86:AH88" headerRowCount="0">
  <tableColumns count="4">
    <tableColumn id="1" name="Column1"/>
    <tableColumn id="2" name="Column2"/>
    <tableColumn id="3" name="Column3"/>
    <tableColumn id="4" name="Column4"/>
  </tableColumns>
  <tableStyleInfo name="Kandungan Gizi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E86:AH88" headerRowCount="0">
  <tableColumns count="4">
    <tableColumn id="1" name="Column1"/>
    <tableColumn id="2" name="Column2"/>
    <tableColumn id="3" name="Column3"/>
    <tableColumn id="4" name="Column4"/>
  </tableColumns>
  <tableStyleInfo name="Kandungan Gizi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5-07-16T23:38:12.43" personId="{6A4B124E-1737-413C-9509-4D3CD3CC1DF0}" id="{AD3AF637-4714-446F-83BC-FAB760652C45}">
    <text>Masukan data sagu segar dalam cell ini</text>
  </threadedComment>
  <threadedComment ref="D7" dT="2025-07-16T23:38:31.87" personId="{6A4B124E-1737-413C-9509-4D3CD3CC1DF0}" id="{B16C0C92-228A-46E1-9441-FC0C55DCBEE2}">
    <text>Masukan data tepung sagu dalam cell ini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3" dT="2025-09-24T03:40:54.29" personId="{6A4B124E-1737-413C-9509-4D3CD3CC1DF0}" id="{E3139B13-691A-48DC-BDC2-3D771CEE4B5C}">
    <text>Isi tahun berdasarkan tahun data NBM</text>
  </threadedComment>
  <threadedComment ref="N4" dT="2025-09-11T07:02:16.23" personId="{6A4B124E-1737-413C-9509-4D3CD3CC1DF0}" id="{F4B013BD-A1DA-45E1-8C96-D30DC5E941BC}">
    <text>Isi jumlah penduduk disini</text>
  </threadedComment>
  <threadedComment ref="D7" personId="{A9D7B5B9-4035-4B75-942E-89700B36BE97}" id="{D2A364A1-AB3D-4367-BBFB-10ACDDD8BDB1}">
    <text>Penting:
Masukan produksi GKG berdasarkan KSA</text>
  </threadedComment>
  <threadedComment ref="D8" personId="{A9D7B5B9-4035-4B75-942E-89700B36BE97}" id="{C6C709AE-1AF0-468F-8717-B9E6512F1030}">
    <text>Penting:
tidak perlu diisi, otomatis berdasarkan konversi gabah</text>
  </threadedComment>
  <threadedComment ref="E8" personId="{A9D7B5B9-4035-4B75-942E-89700B36BE97}" id="{1D7839C4-CD13-445E-BF03-ACBED560A2C1}">
    <text>Penting:
Wajib diisi dengan konversi GKG ke beras sesuai dengan provinsi masing-masing</text>
  </threadedComment>
  <threadedComment ref="D9" dT="2025-09-11T07:44:43.04" personId="{6A4B124E-1737-413C-9509-4D3CD3CC1DF0}" id="{4464EA75-A39B-4F48-B2EF-51D87013D2A2}">
    <text>Masukan data JPK dalam cell ini</text>
  </threadedComment>
  <threadedComment ref="E9" personId="{A9D7B5B9-4035-4B75-942E-89700B36BE97}" id="{F45BE634-25E3-4CAF-922D-7F2C2F5E97AD}">
    <text xml:space="preserve">Penting:
Jagung yang digunakan adalah JPK KA 14%, jika data tersedia sudah dalam JPK KA 14%, maka tidak perlu dikonversi (0,74 diganti menjadi 1)
</text>
  </threadedComment>
  <threadedComment ref="D10" dT="2025-07-16T23:36:43.30" personId="{6A4B124E-1737-413C-9509-4D3CD3CC1DF0}" id="{B9425622-090E-40A8-8B5A-B553612098A4}">
    <text xml:space="preserve">Data produksi jagung basah berdasarkan perkiraan angka konsumsi jagung </text>
  </threadedComment>
  <threadedComment ref="D10" dT="2025-09-11T07:45:20.96" personId="{6A4B124E-1737-413C-9509-4D3CD3CC1DF0}" id="{5F6BF3DB-B27E-49FF-996E-82ACF9F9B949}" parentId="{B9425622-090E-40A8-8B5A-B553612098A4}">
    <text>Isi angka konsumsi pada kolom N7</text>
  </threadedComment>
  <threadedComment ref="D12" dT="2025-07-16T23:37:02.39" personId="{6A4B124E-1737-413C-9509-4D3CD3CC1DF0}" id="{6A1030CB-D6AD-4ED9-A8A8-DEBD865B80C2}">
    <text>Masukan data gandum pada cell ini</text>
  </threadedComment>
  <threadedComment ref="D13" dT="2025-07-16T23:37:17.68" personId="{6A4B124E-1737-413C-9509-4D3CD3CC1DF0}" id="{761F0806-2371-4B03-B3B6-A517AD453038}">
    <text>Masukan data tepung gandum dalam cell ini</text>
  </threadedComment>
  <threadedComment ref="D18" dT="2025-07-16T23:37:32.80" personId="{6A4B124E-1737-413C-9509-4D3CD3CC1DF0}" id="{AF0C34BF-7D4D-43C7-BDCF-C1BD0DE92820}">
    <text>Masukan data ubi kayu dalam cell ini</text>
  </threadedComment>
  <threadedComment ref="D22" dT="2025-07-16T23:38:12.43" personId="{6A4B124E-1737-413C-9509-4D3CD3CC1DF0}" id="{46C3929E-B16D-406D-A400-FFBB09063A82}">
    <text>Masukan data sagu segar dalam cell ini</text>
  </threadedComment>
  <threadedComment ref="D23" dT="2025-07-16T23:38:31.87" personId="{6A4B124E-1737-413C-9509-4D3CD3CC1DF0}" id="{7DBC282D-397B-4F56-B8F0-6FFD9FDC0BC4}">
    <text>Masukan data tepung sagu dalam cell ini</text>
  </threadedComment>
  <threadedComment ref="D28" dT="2025-07-16T23:38:12.43" personId="{6A4B124E-1737-413C-9509-4D3CD3CC1DF0}" id="{5393BFFE-98B6-470E-82C7-56AF517C5DC4}">
    <text>Masukan data GKP/Gula konsumsi dalam cell ini</text>
  </threadedComment>
  <threadedComment ref="D29" dT="2025-07-16T23:38:31.87" personId="{6A4B124E-1737-413C-9509-4D3CD3CC1DF0}" id="{0DA22A15-5CDB-41EF-8E2A-0814CFEEFC76}">
    <text>Masukan data gula rafinasi/ gula industri dalam cell ini</text>
  </threadedComment>
  <threadedComment ref="E34" dT="2025-09-11T07:06:59.94" personId="{6A4B124E-1737-413C-9509-4D3CD3CC1DF0}" id="{25A0688B-71A0-46DB-BC81-B651466606C0}">
    <text>Apabila data yang diperoleh sudah dalam bentuk tanah lepas kulit, maka konversi diganti dengan 1</text>
  </threadedComment>
  <threadedComment ref="E34" dT="2025-09-23T08:16:44.05" personId="{6A4B124E-1737-413C-9509-4D3CD3CC1DF0}" id="{932DE2FD-3426-48B6-8CEF-588C2B62D79C}" parentId="{25A0688B-71A0-46DB-BC81-B651466606C0}">
    <text>Jika data masih dalam bentuk kacang berkulit, maka konversi diganti 0,68</text>
  </threadedComment>
  <threadedComment ref="D37" dT="2025-07-16T23:34:01.46" personId="{6A4B124E-1737-413C-9509-4D3CD3CC1DF0}" id="{67029D5E-4A38-45E8-8A71-9A639E99A57A}">
    <text>Isi data produksi kelapa pada cell ini</text>
  </threadedComment>
  <threadedComment ref="D38" dT="2025-09-12T02:57:50.52" personId="{6A4B124E-1737-413C-9509-4D3CD3CC1DF0}" id="{A2A99E80-DDA8-4DE4-B110-EDA399274A4D}">
    <text>Tidak perlu mengisi cell ini</text>
  </threadedComment>
  <threadedComment ref="D39" dT="2025-07-16T23:35:53.12" personId="{6A4B124E-1737-413C-9509-4D3CD3CC1DF0}" id="{D91E413B-68E9-4F86-9771-B1773D81913D}">
    <text xml:space="preserve">Estimasi sebesar 63,3% dari produksi kelapa diolah menjadi kopra, sedangkan sisanya dikonsumsi dalam bentuk daging kelapa, sehingga angka kopra berdasarkan konversi tersebut. </text>
  </threadedComment>
  <threadedComment ref="D39" dT="2025-09-11T08:35:20.26" personId="{6A4B124E-1737-413C-9509-4D3CD3CC1DF0}" id="{E8B8CF93-1757-4F5F-BE5D-4F098338D56B}" parentId="{D91E413B-68E9-4F86-9771-B1773D81913D}">
    <text>Apabila terdapat data kopra rill, dapat diisi disini. Data kopra diasumsikan untuk diolah menjadi minyak goreng kelapa, sehingga data tersebut akan menjadi data minyak goreng (komoditas no. 140)</text>
  </threadedComment>
  <threadedComment ref="C118" personId="{A9D7B5B9-4035-4B75-942E-89700B36BE97}" id="{A6EF4449-555E-40D2-AC17-FBFF04BCE04D}">
    <text>Penting:
Data Daging dalam bentuk Karkas, apabila data yang tersedia dalam bentuk daging murni, maka konversi dahulu menjadi karkas. Setelah itu, hasil karkas dimasukan ke dalam kolom produksi kotor.</text>
  </threadedComment>
  <threadedComment ref="D120" dT="2025-07-16T23:34:01.46" personId="{6A4B124E-1737-413C-9509-4D3CD3CC1DF0}" id="{823C547C-05C5-43BA-9CE1-F36C9375F9FE}">
    <text>Isi data produksi sapi lokal pada cell ini</text>
  </threadedComment>
  <threadedComment ref="D121" dT="2025-09-24T03:22:36.87" personId="{6A4B124E-1737-413C-9509-4D3CD3CC1DF0}" id="{E811BD4B-5EE3-43B4-A013-E560568084EE}">
    <text>Isi data produksi sapi eks impor pada cell ini</text>
  </threadedComment>
  <threadedComment ref="D131" personId="{A9D7B5B9-4035-4B75-942E-89700B36BE97}" id="{6FA0E191-1D76-48AD-B9A2-A61A27035DDF}">
    <text>Penting:
Sudah terisi berdasarkan persentase jeroan terhadap karkas</text>
  </threadedComment>
  <threadedComment ref="E181" dT="2025-09-14T03:50:35.99" personId="{6A4B124E-1737-413C-9509-4D3CD3CC1DF0}" id="{93E9E724-CFD6-4F69-8CD0-7CDF62E18B0F}">
    <text>Penting:
Apabila data yang diperoleh sudah dalam bentuk minyak kacang tanah maka tidak perlu dilakukan konversi (0,52 diganti 1)</text>
  </threadedComment>
  <threadedComment ref="C182" personId="{A9D7B5B9-4035-4B75-942E-89700B36BE97}" id="{9D0C20CF-AC79-4D55-A096-84A852C7EC3B}">
    <text>Penting:
Dalam komoditas kelapa, kelapa yang diolah menjadi kopra diasumsikan akan digunakan sebagai bahan pembuatan minyak goreng kelapa. Sehingga langsung terhubung dengan angka produksi kopra.</text>
  </threadedComment>
  <threadedComment ref="E184" dT="2025-09-14T03:51:53.78" personId="{6A4B124E-1737-413C-9509-4D3CD3CC1DF0}" id="{AAA86B7E-9704-4E12-ADDB-7ACC814BFFE3}">
    <text>Penting:
Apabila data yang diperoleh sudah dalam bentuk minyak jagung maka tidak perlu dilakukan konversi (0,52 diganti 1)</text>
  </threadedComment>
  <threadedComment ref="D189" personId="{A9D7B5B9-4035-4B75-942E-89700B36BE97}" id="{861E2317-D121-4650-87EA-3DE28499612E}">
    <text>Penting:
Merupakan persentase dari Karkas, sudah terisi.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11" dT="2025-09-11T08:02:15.17" personId="{6A4B124E-1737-413C-9509-4D3CD3CC1DF0}" id="{BEA667B5-028D-4AAF-899C-FCD8960DF038}">
    <text>Masukan data stok gandum utuh dalam baris ini</text>
  </threadedComment>
  <threadedComment ref="B17" dT="2025-09-11T08:02:15.17" personId="{6A4B124E-1737-413C-9509-4D3CD3CC1DF0}" id="{AE881629-2292-40F6-B6F9-00FDBC6AB4F2}">
    <text>Masukan data stok ubi kayu dalam baris ini</text>
  </threadedComment>
  <threadedComment ref="B21" dT="2025-09-11T08:02:15.17" personId="{6A4B124E-1737-413C-9509-4D3CD3CC1DF0}" id="{B00A8266-7482-44C9-8B38-F43867A0FF29}">
    <text>Masukan data stok sagu dalam baris ini</text>
  </threadedComment>
  <threadedComment ref="K33" dT="2025-09-11T07:06:59.94" personId="{6A4B124E-1737-413C-9509-4D3CD3CC1DF0}" id="{3E6714F2-71A1-4C19-87E0-53533368B54E}">
    <text>Apabila data yang diperoleh sudah dalam bentuk tanah lepas kulit, maka konversi diganti dengan 1</text>
  </threadedComment>
  <threadedComment ref="B37" dT="2025-09-11T08:02:15.17" personId="{6A4B124E-1737-413C-9509-4D3CD3CC1DF0}" id="{AE854C17-D56C-4671-B0B9-DEF7DA362D63}">
    <text>Masukan data stok kelapa dalam baris ini</text>
  </threadedComment>
  <threadedComment ref="D83" personId="{A9D7B5B9-4035-4B75-942E-89700B36BE97}" id="{B46D113E-3DAB-4C88-84BD-235DCDE489F2}">
    <text>Penting:
data yang dimasukan sudah dalam bentuk bawang merah rogol</text>
  </threadedComment>
  <threadedComment ref="D84" dT="2025-07-15T02:36:17.31" personId="{6A4B124E-1737-413C-9509-4D3CD3CC1DF0}" id="{BB089ABC-8720-4D21-8C7F-AB41C080661E}">
    <text>Data stok bawang putih dalam bentuk rogol</text>
  </threadedComment>
  <threadedComment ref="C117" dT="2025-09-14T03:59:10.32" personId="{6A4B124E-1737-413C-9509-4D3CD3CC1DF0}" id="{707E64C6-34B6-4063-BECE-0B015D092D7D}">
    <text xml:space="preserve">Masukan data stok daging dalam bentuk daging murni. </text>
  </threadedComment>
  <threadedComment ref="C128" dT="2025-09-14T03:59:38.01" personId="{6A4B124E-1737-413C-9509-4D3CD3CC1DF0}" id="{627DF765-F1E5-4405-807C-AB7F80608127}">
    <text xml:space="preserve">Masukan data stok riil jeroan 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1" dT="2025-07-16T23:37:02.39" personId="{6A4B124E-1737-413C-9509-4D3CD3CC1DF0}" id="{02643113-C470-4501-95EC-8DEE54E57C13}">
    <text>Masukan data gandum pada cell ini</text>
  </threadedComment>
  <threadedComment ref="D12" dT="2025-07-16T23:37:17.68" personId="{6A4B124E-1737-413C-9509-4D3CD3CC1DF0}" id="{CB9ACFD4-BE36-4A4D-AEA4-EC8F7CDE5FD7}">
    <text>Masukan data tepung gandum dalam cell ini</text>
  </threadedComment>
  <threadedComment ref="D17" dT="2025-07-16T23:37:32.80" personId="{6A4B124E-1737-413C-9509-4D3CD3CC1DF0}" id="{63EB5125-EEF2-4354-81F9-E0F136C0AC6C}">
    <text>Masukan data ubi kayu dalam cell ini</text>
  </threadedComment>
  <threadedComment ref="D21" dT="2025-07-16T23:38:12.43" personId="{6A4B124E-1737-413C-9509-4D3CD3CC1DF0}" id="{2AD911AE-2D14-4986-8203-7F17F9CC8B16}">
    <text>Masukan data sagu segar dalam cell ini</text>
  </threadedComment>
  <threadedComment ref="D22" dT="2025-07-16T23:38:31.87" personId="{6A4B124E-1737-413C-9509-4D3CD3CC1DF0}" id="{D2A53CD7-E467-470C-9C03-7025BE95557B}">
    <text>Masukan data tepung sagu dalam cell ini</text>
  </threadedComment>
  <threadedComment ref="D27" dT="2025-07-16T23:38:12.43" personId="{6A4B124E-1737-413C-9509-4D3CD3CC1DF0}" id="{BBB80A9D-6A4F-4FF4-AA74-4357AC9505BC}">
    <text>Masukan data GKP/Gula konsumsi dalam cell ini</text>
  </threadedComment>
  <threadedComment ref="D28" dT="2025-07-16T23:38:31.87" personId="{6A4B124E-1737-413C-9509-4D3CD3CC1DF0}" id="{A5195690-B2A6-4E51-A917-EB3C2B378662}">
    <text>Masukan data gula rafinasi/ gula industri dalam cell ini</text>
  </threadedComment>
  <threadedComment ref="E33" dT="2025-09-11T07:06:59.94" personId="{6A4B124E-1737-413C-9509-4D3CD3CC1DF0}" id="{F44B29CB-2395-48C9-A1BE-EA638FADFDC5}">
    <text>Apabila data yang diperoleh sudah dalam bentuk tanah lepas kulit, maka konversi diganti dengan 1</text>
  </threadedComment>
  <threadedComment ref="E83" personId="{A9D7B5B9-4035-4B75-942E-89700B36BE97}" id="{16460DCD-0B56-4138-A748-249BB5D6D825}">
    <text xml:space="preserve">Penting:
Data yang dimasukan sudah dalam bentuk rogol. </text>
  </threadedComment>
  <threadedComment ref="D85" dT="2025-09-23T07:10:36.53" personId="{6A4B124E-1737-413C-9509-4D3CD3CC1DF0}" id="{CA0F8225-9D44-4AEF-A903-2C19CBF226A4}">
    <text>Isi data bawang putih segar dalam cell ini, pastikan data sudah dalam bentuk rogol</text>
  </threadedComment>
  <threadedComment ref="C119" personId="{A9D7B5B9-4035-4B75-942E-89700B36BE97}" id="{594ED0A3-788B-4541-9CB7-1AC06A6752C1}">
    <text>Penting:
Data Daging dalam bentuk daging murni</text>
  </threadedComment>
  <threadedComment ref="C180" personId="{A9D7B5B9-4035-4B75-942E-89700B36BE97}" id="{9C07633E-D4D5-4A3E-8F1A-B33268F65BB9}">
    <text>Penting:
Apabila data yang diperoleh sudah dalam bentuk minyak kacang tanah maka tidak perlu dilakukan konversi</text>
  </threadedComment>
  <threadedComment ref="C180" dT="2025-09-14T04:24:48.58" personId="{6A4B124E-1737-413C-9509-4D3CD3CC1DF0}" id="{3C16D1CD-87AB-4FA8-9139-F76BC4EB3EC0}" parentId="{9C07633E-D4D5-4A3E-8F1A-B33268F65BB9}">
    <text>Ganti 0,52 menjadi 1</text>
  </threadedComment>
  <threadedComment ref="C183" personId="{A9D7B5B9-4035-4B75-942E-89700B36BE97}" id="{576B5CF7-D72D-4917-9CE3-3FA05A7CF503}">
    <text>Penting:
Apabila data yang diperoleh dalam bentuk minyak jagung, maka tidak perlu dilakukan konversi</text>
  </threadedComment>
  <threadedComment ref="C183" dT="2025-09-14T04:24:22.66" personId="{6A4B124E-1737-413C-9509-4D3CD3CC1DF0}" id="{88B1A92B-6824-468D-B9EB-92E4C93F31F8}" parentId="{576B5CF7-D72D-4917-9CE3-3FA05A7CF503}">
    <text xml:space="preserve">Ganti konversi 0,68 menjadi 1
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D11" dT="2025-07-16T23:37:02.39" personId="{6A4B124E-1737-413C-9509-4D3CD3CC1DF0}" id="{1BC06CC2-F27D-48AD-BB30-C1E93D4D187B}">
    <text>Masukan data gandum pada cell ini</text>
  </threadedComment>
  <threadedComment ref="D12" dT="2025-07-16T23:37:17.68" personId="{6A4B124E-1737-413C-9509-4D3CD3CC1DF0}" id="{266545DD-FAB7-4D79-A95E-D84727C35AD4}">
    <text>Masukan data tepung gandum dalam cell ini</text>
  </threadedComment>
  <threadedComment ref="D17" dT="2025-07-16T23:37:32.80" personId="{6A4B124E-1737-413C-9509-4D3CD3CC1DF0}" id="{266DA121-6F73-47D3-98EE-5A642EAEF7D6}">
    <text>Masukan data ubi kayu dalam cell ini</text>
  </threadedComment>
  <threadedComment ref="D21" dT="2025-07-16T23:38:12.43" personId="{6A4B124E-1737-413C-9509-4D3CD3CC1DF0}" id="{15B930EC-32AC-42E4-B108-C13E6948981D}">
    <text>Masukan data sagu segar dalam cell ini</text>
  </threadedComment>
  <threadedComment ref="D22" dT="2025-07-16T23:38:31.87" personId="{6A4B124E-1737-413C-9509-4D3CD3CC1DF0}" id="{3F0CB42E-4AE8-411B-9478-E0ABDB4F7B77}">
    <text>Masukan data tepung sagu dalam cell ini</text>
  </threadedComment>
  <threadedComment ref="D23" dT="2025-07-16T23:38:31.87" personId="{6A4B124E-1737-413C-9509-4D3CD3CC1DF0}" id="{C969FFD3-AD7F-4024-884B-E8B12EA95401}">
    <text>Masukan data tepung sagu dalam cell ini</text>
  </threadedComment>
  <threadedComment ref="D27" dT="2025-07-16T23:38:12.43" personId="{6A4B124E-1737-413C-9509-4D3CD3CC1DF0}" id="{86092734-8B72-4C21-8CA7-F9432F4DBAA2}">
    <text>Masukan data GKP/Gula konsumsi dalam cell ini</text>
  </threadedComment>
  <threadedComment ref="D28" dT="2025-07-16T23:38:31.87" personId="{6A4B124E-1737-413C-9509-4D3CD3CC1DF0}" id="{98D84F6E-A93E-417D-895A-7703F57C5BA7}">
    <text>Masukan data gula rafinasi/ gula industri dalam cell ini</text>
  </threadedComment>
  <threadedComment ref="E33" dT="2025-09-11T07:06:59.94" personId="{6A4B124E-1737-413C-9509-4D3CD3CC1DF0}" id="{5CB3364B-8976-4488-9BE5-670BA79E7FAC}">
    <text>Apabila data yang diperoleh sudah dalam bentuk tanah lepas kulit, maka konversi diganti dengan 1</text>
  </threadedComment>
  <threadedComment ref="E83" personId="{A9D7B5B9-4035-4B75-942E-89700B36BE97}" id="{E40D2E30-F5DF-463D-8E1C-D9F051395C65}">
    <text xml:space="preserve">Penting:
Data yang dimasukan sudah dalam bentuk rogol. </text>
  </threadedComment>
  <threadedComment ref="E85" personId="{A9D7B5B9-4035-4B75-942E-89700B36BE97}" id="{7A49F8A4-D8BD-468C-ABFE-A45F72D62933}">
    <text xml:space="preserve">Penting:
Data yang dimasukan sudah dalam bentuk rogol. </text>
  </threadedComment>
  <threadedComment ref="C119" personId="{A9D7B5B9-4035-4B75-942E-89700B36BE97}" id="{32FEB9A4-31C0-4E2C-A69C-9940EDA8FAFB}">
    <text>Penting:
Data Daging dalam bentuk daging murni</text>
  </threadedComment>
  <threadedComment ref="C180" personId="{A9D7B5B9-4035-4B75-942E-89700B36BE97}" id="{FC6AB309-6ACA-4261-9491-B52842A773D3}">
    <text>Penting:
Apabila data yang diperoleh sudah dalam bentuk minyak kacang tanah maka tidak perlu dilakukan konversi</text>
  </threadedComment>
  <threadedComment ref="C183" personId="{A9D7B5B9-4035-4B75-942E-89700B36BE97}" id="{640B700E-ECE4-4937-AD81-63A956879B9F}">
    <text>Penting:
Apabila data yang diperoleh dalam bentuk minyak jagung, maka tidak perlu dilakukan konversi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E15" personId="{A9D7B5B9-4035-4B75-942E-89700B36BE97}" id="{9E5F8916-5513-4B15-A869-BD6418843210}">
    <text>Penting:
Penggunaan jagung JPK 14% sebagian besar untuk pakan, sehingga wajib mengisi data rill pakan</text>
  </threadedComment>
  <threadedComment ref="O15" dT="2025-07-15T03:06:45.73" personId="{6A4B124E-1737-413C-9509-4D3CD3CC1DF0}" id="{B824E746-89A7-42FF-B65E-5FF07F6531FD}">
    <text>Persentase berdasarkan data rill penggunaan jagung untuk industri pangan nasional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E13" personId="{A9D7B5B9-4035-4B75-942E-89700B36BE97}" id="{EFA3C258-66F1-4C09-8C08-0CA96D1D0089}">
    <text>Penting:
Penggunaan jagung JPK 14% sebagian besar untuk pakan, sehingga wajib mengisi data rill pakan</text>
  </threadedComment>
  <threadedComment ref="E14" personId="{A9D7B5B9-4035-4B75-942E-89700B36BE97}" id="{FFAD52D1-A4CD-4A71-826C-0772B9F24965}">
    <text>Penting:
Penggunaan jagung JPK 14% sebagian besar untuk pakan, sehingga wajib mengisi data rill pakan</text>
  </threadedComment>
  <threadedComment ref="O14" dT="2025-07-15T03:06:45.73" personId="{6A4B124E-1737-413C-9509-4D3CD3CC1DF0}" id="{6B527367-E6C8-4611-8C28-CF76EA05F3F1}">
    <text>Data industri nasional untuk pangan berdasarkan data rill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Q5" dT="2024-09-06T08:22:09.53" personId="{A9D7B5B9-4035-4B75-942E-89700B36BE97}" id="{B0E29A39-98EF-4EEB-BA3A-F54949CC82BF}">
    <text>Ketersediaan per zat gizi, dilihat dari kolom bahan makanan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workbookViewId="0">
      <selection activeCell="A18" sqref="A18"/>
    </sheetView>
  </sheetViews>
  <sheetFormatPr defaultRowHeight="15" x14ac:dyDescent="0.25"/>
  <cols>
    <col min="1" max="1" width="3.28515625" customWidth="1"/>
    <col min="2" max="2" width="1.85546875" customWidth="1"/>
    <col min="3" max="3" width="23.5703125" customWidth="1"/>
    <col min="4" max="4" width="15.5703125" bestFit="1" customWidth="1"/>
  </cols>
  <sheetData>
    <row r="1" spans="1:4" x14ac:dyDescent="0.25">
      <c r="A1" t="s">
        <v>580</v>
      </c>
    </row>
    <row r="3" spans="1:4" x14ac:dyDescent="0.25">
      <c r="A3" t="s">
        <v>581</v>
      </c>
      <c r="B3" t="s">
        <v>582</v>
      </c>
    </row>
    <row r="4" spans="1:4" x14ac:dyDescent="0.25">
      <c r="B4" t="s">
        <v>588</v>
      </c>
    </row>
    <row r="5" spans="1:4" s="456" customFormat="1" ht="12" customHeight="1" x14ac:dyDescent="0.25">
      <c r="B5" s="457" t="s">
        <v>624</v>
      </c>
      <c r="C5" s="458"/>
      <c r="D5" s="459"/>
    </row>
    <row r="6" spans="1:4" s="456" customFormat="1" ht="12" customHeight="1" x14ac:dyDescent="0.25">
      <c r="B6" s="457"/>
      <c r="C6" s="458" t="s">
        <v>395</v>
      </c>
      <c r="D6" s="460">
        <v>1000</v>
      </c>
    </row>
    <row r="7" spans="1:4" s="456" customFormat="1" ht="12" customHeight="1" x14ac:dyDescent="0.25">
      <c r="B7" s="457"/>
      <c r="C7" s="458" t="s">
        <v>383</v>
      </c>
      <c r="D7" s="460">
        <v>200</v>
      </c>
    </row>
    <row r="9" spans="1:4" x14ac:dyDescent="0.25">
      <c r="A9" t="s">
        <v>586</v>
      </c>
      <c r="B9" t="s">
        <v>585</v>
      </c>
    </row>
    <row r="10" spans="1:4" x14ac:dyDescent="0.25">
      <c r="A10" t="s">
        <v>587</v>
      </c>
      <c r="B10" t="s">
        <v>583</v>
      </c>
    </row>
    <row r="11" spans="1:4" x14ac:dyDescent="0.25">
      <c r="B11" s="453"/>
      <c r="C11" t="s">
        <v>584</v>
      </c>
    </row>
    <row r="12" spans="1:4" x14ac:dyDescent="0.25">
      <c r="B12" s="454"/>
      <c r="C12" t="s">
        <v>564</v>
      </c>
    </row>
    <row r="13" spans="1:4" x14ac:dyDescent="0.25">
      <c r="B13" s="455"/>
      <c r="C13" t="s">
        <v>556</v>
      </c>
    </row>
    <row r="14" spans="1:4" x14ac:dyDescent="0.25">
      <c r="A14" t="s">
        <v>597</v>
      </c>
      <c r="B14" t="s">
        <v>621</v>
      </c>
    </row>
    <row r="15" spans="1:4" x14ac:dyDescent="0.25">
      <c r="B15" t="s">
        <v>620</v>
      </c>
    </row>
    <row r="16" spans="1:4" x14ac:dyDescent="0.25">
      <c r="B16" t="s">
        <v>619</v>
      </c>
    </row>
    <row r="17" spans="1:2" x14ac:dyDescent="0.25">
      <c r="A17" t="s">
        <v>630</v>
      </c>
      <c r="B17" t="s">
        <v>631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S190"/>
  <sheetViews>
    <sheetView view="pageBreakPreview" zoomScale="80" zoomScaleNormal="100" zoomScaleSheetLayoutView="100" workbookViewId="0">
      <pane xSplit="3" ySplit="11" topLeftCell="D12" activePane="bottomRight" state="frozen"/>
      <selection activeCell="M5" sqref="M5:Q5"/>
      <selection pane="topRight" activeCell="M5" sqref="M5:Q5"/>
      <selection pane="bottomLeft" activeCell="M5" sqref="M5:Q5"/>
      <selection pane="bottomRight" activeCell="F37" sqref="F37"/>
    </sheetView>
  </sheetViews>
  <sheetFormatPr defaultColWidth="9" defaultRowHeight="11.25" x14ac:dyDescent="0.2"/>
  <cols>
    <col min="1" max="1" width="3.28515625" style="21" customWidth="1"/>
    <col min="2" max="2" width="1.42578125" style="66" customWidth="1"/>
    <col min="3" max="3" width="31.85546875" style="21" customWidth="1"/>
    <col min="4" max="11" width="10.28515625" style="194" customWidth="1"/>
    <col min="12" max="12" width="3.28515625" style="194" customWidth="1"/>
    <col min="13" max="13" width="8.7109375" style="265" customWidth="1"/>
    <col min="14" max="15" width="8.7109375" style="263" customWidth="1"/>
    <col min="16" max="16" width="9" style="263"/>
    <col min="17" max="17" width="11.5703125" style="264" customWidth="1"/>
    <col min="18" max="18" width="11.28515625" style="540" customWidth="1"/>
    <col min="19" max="213" width="9" style="21"/>
    <col min="214" max="214" width="1.42578125" style="21" customWidth="1"/>
    <col min="215" max="215" width="31.85546875" style="21" customWidth="1"/>
    <col min="216" max="216" width="8.28515625" style="21" customWidth="1"/>
    <col min="217" max="217" width="9.7109375" style="21" customWidth="1"/>
    <col min="218" max="218" width="8.28515625" style="21" customWidth="1"/>
    <col min="219" max="219" width="6.5703125" style="21" customWidth="1"/>
    <col min="220" max="220" width="14" style="21" customWidth="1"/>
    <col min="221" max="221" width="6.7109375" style="21" customWidth="1"/>
    <col min="222" max="222" width="8.85546875" style="21" customWidth="1"/>
    <col min="223" max="223" width="7.7109375" style="21" customWidth="1"/>
    <col min="224" max="224" width="7.28515625" style="21" customWidth="1"/>
    <col min="225" max="225" width="7.7109375" style="21" customWidth="1"/>
    <col min="226" max="226" width="8.28515625" style="21" customWidth="1"/>
    <col min="227" max="228" width="6.7109375" style="21" customWidth="1"/>
    <col min="229" max="229" width="8.85546875" style="21" customWidth="1"/>
    <col min="230" max="231" width="7.5703125" style="21" customWidth="1"/>
    <col min="232" max="232" width="7.7109375" style="21" customWidth="1"/>
    <col min="233" max="234" width="8.28515625" style="21" customWidth="1"/>
    <col min="235" max="235" width="6.28515625" style="21" customWidth="1"/>
    <col min="236" max="237" width="8.7109375" style="21" customWidth="1"/>
    <col min="238" max="238" width="9.5703125" style="21" customWidth="1"/>
    <col min="239" max="239" width="8.7109375" style="21" customWidth="1"/>
    <col min="240" max="240" width="14.5703125" style="21" customWidth="1"/>
    <col min="241" max="241" width="8.7109375" style="21" customWidth="1"/>
    <col min="242" max="242" width="10.42578125" style="21" customWidth="1"/>
    <col min="243" max="245" width="8.7109375" style="21" customWidth="1"/>
    <col min="246" max="246" width="9" style="21"/>
    <col min="247" max="248" width="8.7109375" style="21" customWidth="1"/>
    <col min="249" max="249" width="4.28515625" style="21" customWidth="1"/>
    <col min="250" max="250" width="7" style="21" customWidth="1"/>
    <col min="251" max="251" width="4.28515625" style="21" customWidth="1"/>
    <col min="252" max="252" width="7.7109375" style="21" customWidth="1"/>
    <col min="253" max="469" width="9" style="21"/>
    <col min="470" max="470" width="1.42578125" style="21" customWidth="1"/>
    <col min="471" max="471" width="31.85546875" style="21" customWidth="1"/>
    <col min="472" max="472" width="8.28515625" style="21" customWidth="1"/>
    <col min="473" max="473" width="9.7109375" style="21" customWidth="1"/>
    <col min="474" max="474" width="8.28515625" style="21" customWidth="1"/>
    <col min="475" max="475" width="6.5703125" style="21" customWidth="1"/>
    <col min="476" max="476" width="14" style="21" customWidth="1"/>
    <col min="477" max="477" width="6.7109375" style="21" customWidth="1"/>
    <col min="478" max="478" width="8.85546875" style="21" customWidth="1"/>
    <col min="479" max="479" width="7.7109375" style="21" customWidth="1"/>
    <col min="480" max="480" width="7.28515625" style="21" customWidth="1"/>
    <col min="481" max="481" width="7.7109375" style="21" customWidth="1"/>
    <col min="482" max="482" width="8.28515625" style="21" customWidth="1"/>
    <col min="483" max="484" width="6.7109375" style="21" customWidth="1"/>
    <col min="485" max="485" width="8.85546875" style="21" customWidth="1"/>
    <col min="486" max="487" width="7.5703125" style="21" customWidth="1"/>
    <col min="488" max="488" width="7.7109375" style="21" customWidth="1"/>
    <col min="489" max="490" width="8.28515625" style="21" customWidth="1"/>
    <col min="491" max="491" width="6.28515625" style="21" customWidth="1"/>
    <col min="492" max="493" width="8.7109375" style="21" customWidth="1"/>
    <col min="494" max="494" width="9.5703125" style="21" customWidth="1"/>
    <col min="495" max="495" width="8.7109375" style="21" customWidth="1"/>
    <col min="496" max="496" width="14.5703125" style="21" customWidth="1"/>
    <col min="497" max="497" width="8.7109375" style="21" customWidth="1"/>
    <col min="498" max="498" width="10.42578125" style="21" customWidth="1"/>
    <col min="499" max="501" width="8.7109375" style="21" customWidth="1"/>
    <col min="502" max="502" width="9" style="21"/>
    <col min="503" max="504" width="8.7109375" style="21" customWidth="1"/>
    <col min="505" max="505" width="4.28515625" style="21" customWidth="1"/>
    <col min="506" max="506" width="7" style="21" customWidth="1"/>
    <col min="507" max="507" width="4.28515625" style="21" customWidth="1"/>
    <col min="508" max="508" width="7.7109375" style="21" customWidth="1"/>
    <col min="509" max="725" width="9" style="21"/>
    <col min="726" max="726" width="1.42578125" style="21" customWidth="1"/>
    <col min="727" max="727" width="31.85546875" style="21" customWidth="1"/>
    <col min="728" max="728" width="8.28515625" style="21" customWidth="1"/>
    <col min="729" max="729" width="9.7109375" style="21" customWidth="1"/>
    <col min="730" max="730" width="8.28515625" style="21" customWidth="1"/>
    <col min="731" max="731" width="6.5703125" style="21" customWidth="1"/>
    <col min="732" max="732" width="14" style="21" customWidth="1"/>
    <col min="733" max="733" width="6.7109375" style="21" customWidth="1"/>
    <col min="734" max="734" width="8.85546875" style="21" customWidth="1"/>
    <col min="735" max="735" width="7.7109375" style="21" customWidth="1"/>
    <col min="736" max="736" width="7.28515625" style="21" customWidth="1"/>
    <col min="737" max="737" width="7.7109375" style="21" customWidth="1"/>
    <col min="738" max="738" width="8.28515625" style="21" customWidth="1"/>
    <col min="739" max="740" width="6.7109375" style="21" customWidth="1"/>
    <col min="741" max="741" width="8.85546875" style="21" customWidth="1"/>
    <col min="742" max="743" width="7.5703125" style="21" customWidth="1"/>
    <col min="744" max="744" width="7.7109375" style="21" customWidth="1"/>
    <col min="745" max="746" width="8.28515625" style="21" customWidth="1"/>
    <col min="747" max="747" width="6.28515625" style="21" customWidth="1"/>
    <col min="748" max="749" width="8.7109375" style="21" customWidth="1"/>
    <col min="750" max="750" width="9.5703125" style="21" customWidth="1"/>
    <col min="751" max="751" width="8.7109375" style="21" customWidth="1"/>
    <col min="752" max="752" width="14.5703125" style="21" customWidth="1"/>
    <col min="753" max="753" width="8.7109375" style="21" customWidth="1"/>
    <col min="754" max="754" width="10.42578125" style="21" customWidth="1"/>
    <col min="755" max="757" width="8.7109375" style="21" customWidth="1"/>
    <col min="758" max="758" width="9" style="21"/>
    <col min="759" max="760" width="8.7109375" style="21" customWidth="1"/>
    <col min="761" max="761" width="4.28515625" style="21" customWidth="1"/>
    <col min="762" max="762" width="7" style="21" customWidth="1"/>
    <col min="763" max="763" width="4.28515625" style="21" customWidth="1"/>
    <col min="764" max="764" width="7.7109375" style="21" customWidth="1"/>
    <col min="765" max="981" width="9" style="21"/>
    <col min="982" max="982" width="1.42578125" style="21" customWidth="1"/>
    <col min="983" max="983" width="31.85546875" style="21" customWidth="1"/>
    <col min="984" max="984" width="8.28515625" style="21" customWidth="1"/>
    <col min="985" max="985" width="9.7109375" style="21" customWidth="1"/>
    <col min="986" max="986" width="8.28515625" style="21" customWidth="1"/>
    <col min="987" max="987" width="6.5703125" style="21" customWidth="1"/>
    <col min="988" max="988" width="14" style="21" customWidth="1"/>
    <col min="989" max="989" width="6.7109375" style="21" customWidth="1"/>
    <col min="990" max="990" width="8.85546875" style="21" customWidth="1"/>
    <col min="991" max="991" width="7.7109375" style="21" customWidth="1"/>
    <col min="992" max="992" width="7.28515625" style="21" customWidth="1"/>
    <col min="993" max="993" width="7.7109375" style="21" customWidth="1"/>
    <col min="994" max="994" width="8.28515625" style="21" customWidth="1"/>
    <col min="995" max="996" width="6.7109375" style="21" customWidth="1"/>
    <col min="997" max="997" width="8.85546875" style="21" customWidth="1"/>
    <col min="998" max="999" width="7.5703125" style="21" customWidth="1"/>
    <col min="1000" max="1000" width="7.7109375" style="21" customWidth="1"/>
    <col min="1001" max="1002" width="8.28515625" style="21" customWidth="1"/>
    <col min="1003" max="1003" width="6.28515625" style="21" customWidth="1"/>
    <col min="1004" max="1005" width="8.7109375" style="21" customWidth="1"/>
    <col min="1006" max="1006" width="9.5703125" style="21" customWidth="1"/>
    <col min="1007" max="1007" width="8.7109375" style="21" customWidth="1"/>
    <col min="1008" max="1008" width="14.5703125" style="21" customWidth="1"/>
    <col min="1009" max="1009" width="8.7109375" style="21" customWidth="1"/>
    <col min="1010" max="1010" width="10.42578125" style="21" customWidth="1"/>
    <col min="1011" max="1013" width="8.7109375" style="21" customWidth="1"/>
    <col min="1014" max="1014" width="9" style="21"/>
    <col min="1015" max="1016" width="8.7109375" style="21" customWidth="1"/>
    <col min="1017" max="1017" width="4.28515625" style="21" customWidth="1"/>
    <col min="1018" max="1018" width="7" style="21" customWidth="1"/>
    <col min="1019" max="1019" width="4.28515625" style="21" customWidth="1"/>
    <col min="1020" max="1020" width="7.7109375" style="21" customWidth="1"/>
    <col min="1021" max="1237" width="9" style="21"/>
    <col min="1238" max="1238" width="1.42578125" style="21" customWidth="1"/>
    <col min="1239" max="1239" width="31.85546875" style="21" customWidth="1"/>
    <col min="1240" max="1240" width="8.28515625" style="21" customWidth="1"/>
    <col min="1241" max="1241" width="9.7109375" style="21" customWidth="1"/>
    <col min="1242" max="1242" width="8.28515625" style="21" customWidth="1"/>
    <col min="1243" max="1243" width="6.5703125" style="21" customWidth="1"/>
    <col min="1244" max="1244" width="14" style="21" customWidth="1"/>
    <col min="1245" max="1245" width="6.7109375" style="21" customWidth="1"/>
    <col min="1246" max="1246" width="8.85546875" style="21" customWidth="1"/>
    <col min="1247" max="1247" width="7.7109375" style="21" customWidth="1"/>
    <col min="1248" max="1248" width="7.28515625" style="21" customWidth="1"/>
    <col min="1249" max="1249" width="7.7109375" style="21" customWidth="1"/>
    <col min="1250" max="1250" width="8.28515625" style="21" customWidth="1"/>
    <col min="1251" max="1252" width="6.7109375" style="21" customWidth="1"/>
    <col min="1253" max="1253" width="8.85546875" style="21" customWidth="1"/>
    <col min="1254" max="1255" width="7.5703125" style="21" customWidth="1"/>
    <col min="1256" max="1256" width="7.7109375" style="21" customWidth="1"/>
    <col min="1257" max="1258" width="8.28515625" style="21" customWidth="1"/>
    <col min="1259" max="1259" width="6.28515625" style="21" customWidth="1"/>
    <col min="1260" max="1261" width="8.7109375" style="21" customWidth="1"/>
    <col min="1262" max="1262" width="9.5703125" style="21" customWidth="1"/>
    <col min="1263" max="1263" width="8.7109375" style="21" customWidth="1"/>
    <col min="1264" max="1264" width="14.5703125" style="21" customWidth="1"/>
    <col min="1265" max="1265" width="8.7109375" style="21" customWidth="1"/>
    <col min="1266" max="1266" width="10.42578125" style="21" customWidth="1"/>
    <col min="1267" max="1269" width="8.7109375" style="21" customWidth="1"/>
    <col min="1270" max="1270" width="9" style="21"/>
    <col min="1271" max="1272" width="8.7109375" style="21" customWidth="1"/>
    <col min="1273" max="1273" width="4.28515625" style="21" customWidth="1"/>
    <col min="1274" max="1274" width="7" style="21" customWidth="1"/>
    <col min="1275" max="1275" width="4.28515625" style="21" customWidth="1"/>
    <col min="1276" max="1276" width="7.7109375" style="21" customWidth="1"/>
    <col min="1277" max="1493" width="9" style="21"/>
    <col min="1494" max="1494" width="1.42578125" style="21" customWidth="1"/>
    <col min="1495" max="1495" width="31.85546875" style="21" customWidth="1"/>
    <col min="1496" max="1496" width="8.28515625" style="21" customWidth="1"/>
    <col min="1497" max="1497" width="9.7109375" style="21" customWidth="1"/>
    <col min="1498" max="1498" width="8.28515625" style="21" customWidth="1"/>
    <col min="1499" max="1499" width="6.5703125" style="21" customWidth="1"/>
    <col min="1500" max="1500" width="14" style="21" customWidth="1"/>
    <col min="1501" max="1501" width="6.7109375" style="21" customWidth="1"/>
    <col min="1502" max="1502" width="8.85546875" style="21" customWidth="1"/>
    <col min="1503" max="1503" width="7.7109375" style="21" customWidth="1"/>
    <col min="1504" max="1504" width="7.28515625" style="21" customWidth="1"/>
    <col min="1505" max="1505" width="7.7109375" style="21" customWidth="1"/>
    <col min="1506" max="1506" width="8.28515625" style="21" customWidth="1"/>
    <col min="1507" max="1508" width="6.7109375" style="21" customWidth="1"/>
    <col min="1509" max="1509" width="8.85546875" style="21" customWidth="1"/>
    <col min="1510" max="1511" width="7.5703125" style="21" customWidth="1"/>
    <col min="1512" max="1512" width="7.7109375" style="21" customWidth="1"/>
    <col min="1513" max="1514" width="8.28515625" style="21" customWidth="1"/>
    <col min="1515" max="1515" width="6.28515625" style="21" customWidth="1"/>
    <col min="1516" max="1517" width="8.7109375" style="21" customWidth="1"/>
    <col min="1518" max="1518" width="9.5703125" style="21" customWidth="1"/>
    <col min="1519" max="1519" width="8.7109375" style="21" customWidth="1"/>
    <col min="1520" max="1520" width="14.5703125" style="21" customWidth="1"/>
    <col min="1521" max="1521" width="8.7109375" style="21" customWidth="1"/>
    <col min="1522" max="1522" width="10.42578125" style="21" customWidth="1"/>
    <col min="1523" max="1525" width="8.7109375" style="21" customWidth="1"/>
    <col min="1526" max="1526" width="9" style="21"/>
    <col min="1527" max="1528" width="8.7109375" style="21" customWidth="1"/>
    <col min="1529" max="1529" width="4.28515625" style="21" customWidth="1"/>
    <col min="1530" max="1530" width="7" style="21" customWidth="1"/>
    <col min="1531" max="1531" width="4.28515625" style="21" customWidth="1"/>
    <col min="1532" max="1532" width="7.7109375" style="21" customWidth="1"/>
    <col min="1533" max="1749" width="9" style="21"/>
    <col min="1750" max="1750" width="1.42578125" style="21" customWidth="1"/>
    <col min="1751" max="1751" width="31.85546875" style="21" customWidth="1"/>
    <col min="1752" max="1752" width="8.28515625" style="21" customWidth="1"/>
    <col min="1753" max="1753" width="9.7109375" style="21" customWidth="1"/>
    <col min="1754" max="1754" width="8.28515625" style="21" customWidth="1"/>
    <col min="1755" max="1755" width="6.5703125" style="21" customWidth="1"/>
    <col min="1756" max="1756" width="14" style="21" customWidth="1"/>
    <col min="1757" max="1757" width="6.7109375" style="21" customWidth="1"/>
    <col min="1758" max="1758" width="8.85546875" style="21" customWidth="1"/>
    <col min="1759" max="1759" width="7.7109375" style="21" customWidth="1"/>
    <col min="1760" max="1760" width="7.28515625" style="21" customWidth="1"/>
    <col min="1761" max="1761" width="7.7109375" style="21" customWidth="1"/>
    <col min="1762" max="1762" width="8.28515625" style="21" customWidth="1"/>
    <col min="1763" max="1764" width="6.7109375" style="21" customWidth="1"/>
    <col min="1765" max="1765" width="8.85546875" style="21" customWidth="1"/>
    <col min="1766" max="1767" width="7.5703125" style="21" customWidth="1"/>
    <col min="1768" max="1768" width="7.7109375" style="21" customWidth="1"/>
    <col min="1769" max="1770" width="8.28515625" style="21" customWidth="1"/>
    <col min="1771" max="1771" width="6.28515625" style="21" customWidth="1"/>
    <col min="1772" max="1773" width="8.7109375" style="21" customWidth="1"/>
    <col min="1774" max="1774" width="9.5703125" style="21" customWidth="1"/>
    <col min="1775" max="1775" width="8.7109375" style="21" customWidth="1"/>
    <col min="1776" max="1776" width="14.5703125" style="21" customWidth="1"/>
    <col min="1777" max="1777" width="8.7109375" style="21" customWidth="1"/>
    <col min="1778" max="1778" width="10.42578125" style="21" customWidth="1"/>
    <col min="1779" max="1781" width="8.7109375" style="21" customWidth="1"/>
    <col min="1782" max="1782" width="9" style="21"/>
    <col min="1783" max="1784" width="8.7109375" style="21" customWidth="1"/>
    <col min="1785" max="1785" width="4.28515625" style="21" customWidth="1"/>
    <col min="1786" max="1786" width="7" style="21" customWidth="1"/>
    <col min="1787" max="1787" width="4.28515625" style="21" customWidth="1"/>
    <col min="1788" max="1788" width="7.7109375" style="21" customWidth="1"/>
    <col min="1789" max="2005" width="9" style="21"/>
    <col min="2006" max="2006" width="1.42578125" style="21" customWidth="1"/>
    <col min="2007" max="2007" width="31.85546875" style="21" customWidth="1"/>
    <col min="2008" max="2008" width="8.28515625" style="21" customWidth="1"/>
    <col min="2009" max="2009" width="9.7109375" style="21" customWidth="1"/>
    <col min="2010" max="2010" width="8.28515625" style="21" customWidth="1"/>
    <col min="2011" max="2011" width="6.5703125" style="21" customWidth="1"/>
    <col min="2012" max="2012" width="14" style="21" customWidth="1"/>
    <col min="2013" max="2013" width="6.7109375" style="21" customWidth="1"/>
    <col min="2014" max="2014" width="8.85546875" style="21" customWidth="1"/>
    <col min="2015" max="2015" width="7.7109375" style="21" customWidth="1"/>
    <col min="2016" max="2016" width="7.28515625" style="21" customWidth="1"/>
    <col min="2017" max="2017" width="7.7109375" style="21" customWidth="1"/>
    <col min="2018" max="2018" width="8.28515625" style="21" customWidth="1"/>
    <col min="2019" max="2020" width="6.7109375" style="21" customWidth="1"/>
    <col min="2021" max="2021" width="8.85546875" style="21" customWidth="1"/>
    <col min="2022" max="2023" width="7.5703125" style="21" customWidth="1"/>
    <col min="2024" max="2024" width="7.7109375" style="21" customWidth="1"/>
    <col min="2025" max="2026" width="8.28515625" style="21" customWidth="1"/>
    <col min="2027" max="2027" width="6.28515625" style="21" customWidth="1"/>
    <col min="2028" max="2029" width="8.7109375" style="21" customWidth="1"/>
    <col min="2030" max="2030" width="9.5703125" style="21" customWidth="1"/>
    <col min="2031" max="2031" width="8.7109375" style="21" customWidth="1"/>
    <col min="2032" max="2032" width="14.5703125" style="21" customWidth="1"/>
    <col min="2033" max="2033" width="8.7109375" style="21" customWidth="1"/>
    <col min="2034" max="2034" width="10.42578125" style="21" customWidth="1"/>
    <col min="2035" max="2037" width="8.7109375" style="21" customWidth="1"/>
    <col min="2038" max="2038" width="9" style="21"/>
    <col min="2039" max="2040" width="8.7109375" style="21" customWidth="1"/>
    <col min="2041" max="2041" width="4.28515625" style="21" customWidth="1"/>
    <col min="2042" max="2042" width="7" style="21" customWidth="1"/>
    <col min="2043" max="2043" width="4.28515625" style="21" customWidth="1"/>
    <col min="2044" max="2044" width="7.7109375" style="21" customWidth="1"/>
    <col min="2045" max="2261" width="9" style="21"/>
    <col min="2262" max="2262" width="1.42578125" style="21" customWidth="1"/>
    <col min="2263" max="2263" width="31.85546875" style="21" customWidth="1"/>
    <col min="2264" max="2264" width="8.28515625" style="21" customWidth="1"/>
    <col min="2265" max="2265" width="9.7109375" style="21" customWidth="1"/>
    <col min="2266" max="2266" width="8.28515625" style="21" customWidth="1"/>
    <col min="2267" max="2267" width="6.5703125" style="21" customWidth="1"/>
    <col min="2268" max="2268" width="14" style="21" customWidth="1"/>
    <col min="2269" max="2269" width="6.7109375" style="21" customWidth="1"/>
    <col min="2270" max="2270" width="8.85546875" style="21" customWidth="1"/>
    <col min="2271" max="2271" width="7.7109375" style="21" customWidth="1"/>
    <col min="2272" max="2272" width="7.28515625" style="21" customWidth="1"/>
    <col min="2273" max="2273" width="7.7109375" style="21" customWidth="1"/>
    <col min="2274" max="2274" width="8.28515625" style="21" customWidth="1"/>
    <col min="2275" max="2276" width="6.7109375" style="21" customWidth="1"/>
    <col min="2277" max="2277" width="8.85546875" style="21" customWidth="1"/>
    <col min="2278" max="2279" width="7.5703125" style="21" customWidth="1"/>
    <col min="2280" max="2280" width="7.7109375" style="21" customWidth="1"/>
    <col min="2281" max="2282" width="8.28515625" style="21" customWidth="1"/>
    <col min="2283" max="2283" width="6.28515625" style="21" customWidth="1"/>
    <col min="2284" max="2285" width="8.7109375" style="21" customWidth="1"/>
    <col min="2286" max="2286" width="9.5703125" style="21" customWidth="1"/>
    <col min="2287" max="2287" width="8.7109375" style="21" customWidth="1"/>
    <col min="2288" max="2288" width="14.5703125" style="21" customWidth="1"/>
    <col min="2289" max="2289" width="8.7109375" style="21" customWidth="1"/>
    <col min="2290" max="2290" width="10.42578125" style="21" customWidth="1"/>
    <col min="2291" max="2293" width="8.7109375" style="21" customWidth="1"/>
    <col min="2294" max="2294" width="9" style="21"/>
    <col min="2295" max="2296" width="8.7109375" style="21" customWidth="1"/>
    <col min="2297" max="2297" width="4.28515625" style="21" customWidth="1"/>
    <col min="2298" max="2298" width="7" style="21" customWidth="1"/>
    <col min="2299" max="2299" width="4.28515625" style="21" customWidth="1"/>
    <col min="2300" max="2300" width="7.7109375" style="21" customWidth="1"/>
    <col min="2301" max="2517" width="9" style="21"/>
    <col min="2518" max="2518" width="1.42578125" style="21" customWidth="1"/>
    <col min="2519" max="2519" width="31.85546875" style="21" customWidth="1"/>
    <col min="2520" max="2520" width="8.28515625" style="21" customWidth="1"/>
    <col min="2521" max="2521" width="9.7109375" style="21" customWidth="1"/>
    <col min="2522" max="2522" width="8.28515625" style="21" customWidth="1"/>
    <col min="2523" max="2523" width="6.5703125" style="21" customWidth="1"/>
    <col min="2524" max="2524" width="14" style="21" customWidth="1"/>
    <col min="2525" max="2525" width="6.7109375" style="21" customWidth="1"/>
    <col min="2526" max="2526" width="8.85546875" style="21" customWidth="1"/>
    <col min="2527" max="2527" width="7.7109375" style="21" customWidth="1"/>
    <col min="2528" max="2528" width="7.28515625" style="21" customWidth="1"/>
    <col min="2529" max="2529" width="7.7109375" style="21" customWidth="1"/>
    <col min="2530" max="2530" width="8.28515625" style="21" customWidth="1"/>
    <col min="2531" max="2532" width="6.7109375" style="21" customWidth="1"/>
    <col min="2533" max="2533" width="8.85546875" style="21" customWidth="1"/>
    <col min="2534" max="2535" width="7.5703125" style="21" customWidth="1"/>
    <col min="2536" max="2536" width="7.7109375" style="21" customWidth="1"/>
    <col min="2537" max="2538" width="8.28515625" style="21" customWidth="1"/>
    <col min="2539" max="2539" width="6.28515625" style="21" customWidth="1"/>
    <col min="2540" max="2541" width="8.7109375" style="21" customWidth="1"/>
    <col min="2542" max="2542" width="9.5703125" style="21" customWidth="1"/>
    <col min="2543" max="2543" width="8.7109375" style="21" customWidth="1"/>
    <col min="2544" max="2544" width="14.5703125" style="21" customWidth="1"/>
    <col min="2545" max="2545" width="8.7109375" style="21" customWidth="1"/>
    <col min="2546" max="2546" width="10.42578125" style="21" customWidth="1"/>
    <col min="2547" max="2549" width="8.7109375" style="21" customWidth="1"/>
    <col min="2550" max="2550" width="9" style="21"/>
    <col min="2551" max="2552" width="8.7109375" style="21" customWidth="1"/>
    <col min="2553" max="2553" width="4.28515625" style="21" customWidth="1"/>
    <col min="2554" max="2554" width="7" style="21" customWidth="1"/>
    <col min="2555" max="2555" width="4.28515625" style="21" customWidth="1"/>
    <col min="2556" max="2556" width="7.7109375" style="21" customWidth="1"/>
    <col min="2557" max="2773" width="9" style="21"/>
    <col min="2774" max="2774" width="1.42578125" style="21" customWidth="1"/>
    <col min="2775" max="2775" width="31.85546875" style="21" customWidth="1"/>
    <col min="2776" max="2776" width="8.28515625" style="21" customWidth="1"/>
    <col min="2777" max="2777" width="9.7109375" style="21" customWidth="1"/>
    <col min="2778" max="2778" width="8.28515625" style="21" customWidth="1"/>
    <col min="2779" max="2779" width="6.5703125" style="21" customWidth="1"/>
    <col min="2780" max="2780" width="14" style="21" customWidth="1"/>
    <col min="2781" max="2781" width="6.7109375" style="21" customWidth="1"/>
    <col min="2782" max="2782" width="8.85546875" style="21" customWidth="1"/>
    <col min="2783" max="2783" width="7.7109375" style="21" customWidth="1"/>
    <col min="2784" max="2784" width="7.28515625" style="21" customWidth="1"/>
    <col min="2785" max="2785" width="7.7109375" style="21" customWidth="1"/>
    <col min="2786" max="2786" width="8.28515625" style="21" customWidth="1"/>
    <col min="2787" max="2788" width="6.7109375" style="21" customWidth="1"/>
    <col min="2789" max="2789" width="8.85546875" style="21" customWidth="1"/>
    <col min="2790" max="2791" width="7.5703125" style="21" customWidth="1"/>
    <col min="2792" max="2792" width="7.7109375" style="21" customWidth="1"/>
    <col min="2793" max="2794" width="8.28515625" style="21" customWidth="1"/>
    <col min="2795" max="2795" width="6.28515625" style="21" customWidth="1"/>
    <col min="2796" max="2797" width="8.7109375" style="21" customWidth="1"/>
    <col min="2798" max="2798" width="9.5703125" style="21" customWidth="1"/>
    <col min="2799" max="2799" width="8.7109375" style="21" customWidth="1"/>
    <col min="2800" max="2800" width="14.5703125" style="21" customWidth="1"/>
    <col min="2801" max="2801" width="8.7109375" style="21" customWidth="1"/>
    <col min="2802" max="2802" width="10.42578125" style="21" customWidth="1"/>
    <col min="2803" max="2805" width="8.7109375" style="21" customWidth="1"/>
    <col min="2806" max="2806" width="9" style="21"/>
    <col min="2807" max="2808" width="8.7109375" style="21" customWidth="1"/>
    <col min="2809" max="2809" width="4.28515625" style="21" customWidth="1"/>
    <col min="2810" max="2810" width="7" style="21" customWidth="1"/>
    <col min="2811" max="2811" width="4.28515625" style="21" customWidth="1"/>
    <col min="2812" max="2812" width="7.7109375" style="21" customWidth="1"/>
    <col min="2813" max="3029" width="9" style="21"/>
    <col min="3030" max="3030" width="1.42578125" style="21" customWidth="1"/>
    <col min="3031" max="3031" width="31.85546875" style="21" customWidth="1"/>
    <col min="3032" max="3032" width="8.28515625" style="21" customWidth="1"/>
    <col min="3033" max="3033" width="9.7109375" style="21" customWidth="1"/>
    <col min="3034" max="3034" width="8.28515625" style="21" customWidth="1"/>
    <col min="3035" max="3035" width="6.5703125" style="21" customWidth="1"/>
    <col min="3036" max="3036" width="14" style="21" customWidth="1"/>
    <col min="3037" max="3037" width="6.7109375" style="21" customWidth="1"/>
    <col min="3038" max="3038" width="8.85546875" style="21" customWidth="1"/>
    <col min="3039" max="3039" width="7.7109375" style="21" customWidth="1"/>
    <col min="3040" max="3040" width="7.28515625" style="21" customWidth="1"/>
    <col min="3041" max="3041" width="7.7109375" style="21" customWidth="1"/>
    <col min="3042" max="3042" width="8.28515625" style="21" customWidth="1"/>
    <col min="3043" max="3044" width="6.7109375" style="21" customWidth="1"/>
    <col min="3045" max="3045" width="8.85546875" style="21" customWidth="1"/>
    <col min="3046" max="3047" width="7.5703125" style="21" customWidth="1"/>
    <col min="3048" max="3048" width="7.7109375" style="21" customWidth="1"/>
    <col min="3049" max="3050" width="8.28515625" style="21" customWidth="1"/>
    <col min="3051" max="3051" width="6.28515625" style="21" customWidth="1"/>
    <col min="3052" max="3053" width="8.7109375" style="21" customWidth="1"/>
    <col min="3054" max="3054" width="9.5703125" style="21" customWidth="1"/>
    <col min="3055" max="3055" width="8.7109375" style="21" customWidth="1"/>
    <col min="3056" max="3056" width="14.5703125" style="21" customWidth="1"/>
    <col min="3057" max="3057" width="8.7109375" style="21" customWidth="1"/>
    <col min="3058" max="3058" width="10.42578125" style="21" customWidth="1"/>
    <col min="3059" max="3061" width="8.7109375" style="21" customWidth="1"/>
    <col min="3062" max="3062" width="9" style="21"/>
    <col min="3063" max="3064" width="8.7109375" style="21" customWidth="1"/>
    <col min="3065" max="3065" width="4.28515625" style="21" customWidth="1"/>
    <col min="3066" max="3066" width="7" style="21" customWidth="1"/>
    <col min="3067" max="3067" width="4.28515625" style="21" customWidth="1"/>
    <col min="3068" max="3068" width="7.7109375" style="21" customWidth="1"/>
    <col min="3069" max="3285" width="9" style="21"/>
    <col min="3286" max="3286" width="1.42578125" style="21" customWidth="1"/>
    <col min="3287" max="3287" width="31.85546875" style="21" customWidth="1"/>
    <col min="3288" max="3288" width="8.28515625" style="21" customWidth="1"/>
    <col min="3289" max="3289" width="9.7109375" style="21" customWidth="1"/>
    <col min="3290" max="3290" width="8.28515625" style="21" customWidth="1"/>
    <col min="3291" max="3291" width="6.5703125" style="21" customWidth="1"/>
    <col min="3292" max="3292" width="14" style="21" customWidth="1"/>
    <col min="3293" max="3293" width="6.7109375" style="21" customWidth="1"/>
    <col min="3294" max="3294" width="8.85546875" style="21" customWidth="1"/>
    <col min="3295" max="3295" width="7.7109375" style="21" customWidth="1"/>
    <col min="3296" max="3296" width="7.28515625" style="21" customWidth="1"/>
    <col min="3297" max="3297" width="7.7109375" style="21" customWidth="1"/>
    <col min="3298" max="3298" width="8.28515625" style="21" customWidth="1"/>
    <col min="3299" max="3300" width="6.7109375" style="21" customWidth="1"/>
    <col min="3301" max="3301" width="8.85546875" style="21" customWidth="1"/>
    <col min="3302" max="3303" width="7.5703125" style="21" customWidth="1"/>
    <col min="3304" max="3304" width="7.7109375" style="21" customWidth="1"/>
    <col min="3305" max="3306" width="8.28515625" style="21" customWidth="1"/>
    <col min="3307" max="3307" width="6.28515625" style="21" customWidth="1"/>
    <col min="3308" max="3309" width="8.7109375" style="21" customWidth="1"/>
    <col min="3310" max="3310" width="9.5703125" style="21" customWidth="1"/>
    <col min="3311" max="3311" width="8.7109375" style="21" customWidth="1"/>
    <col min="3312" max="3312" width="14.5703125" style="21" customWidth="1"/>
    <col min="3313" max="3313" width="8.7109375" style="21" customWidth="1"/>
    <col min="3314" max="3314" width="10.42578125" style="21" customWidth="1"/>
    <col min="3315" max="3317" width="8.7109375" style="21" customWidth="1"/>
    <col min="3318" max="3318" width="9" style="21"/>
    <col min="3319" max="3320" width="8.7109375" style="21" customWidth="1"/>
    <col min="3321" max="3321" width="4.28515625" style="21" customWidth="1"/>
    <col min="3322" max="3322" width="7" style="21" customWidth="1"/>
    <col min="3323" max="3323" width="4.28515625" style="21" customWidth="1"/>
    <col min="3324" max="3324" width="7.7109375" style="21" customWidth="1"/>
    <col min="3325" max="3541" width="9" style="21"/>
    <col min="3542" max="3542" width="1.42578125" style="21" customWidth="1"/>
    <col min="3543" max="3543" width="31.85546875" style="21" customWidth="1"/>
    <col min="3544" max="3544" width="8.28515625" style="21" customWidth="1"/>
    <col min="3545" max="3545" width="9.7109375" style="21" customWidth="1"/>
    <col min="3546" max="3546" width="8.28515625" style="21" customWidth="1"/>
    <col min="3547" max="3547" width="6.5703125" style="21" customWidth="1"/>
    <col min="3548" max="3548" width="14" style="21" customWidth="1"/>
    <col min="3549" max="3549" width="6.7109375" style="21" customWidth="1"/>
    <col min="3550" max="3550" width="8.85546875" style="21" customWidth="1"/>
    <col min="3551" max="3551" width="7.7109375" style="21" customWidth="1"/>
    <col min="3552" max="3552" width="7.28515625" style="21" customWidth="1"/>
    <col min="3553" max="3553" width="7.7109375" style="21" customWidth="1"/>
    <col min="3554" max="3554" width="8.28515625" style="21" customWidth="1"/>
    <col min="3555" max="3556" width="6.7109375" style="21" customWidth="1"/>
    <col min="3557" max="3557" width="8.85546875" style="21" customWidth="1"/>
    <col min="3558" max="3559" width="7.5703125" style="21" customWidth="1"/>
    <col min="3560" max="3560" width="7.7109375" style="21" customWidth="1"/>
    <col min="3561" max="3562" width="8.28515625" style="21" customWidth="1"/>
    <col min="3563" max="3563" width="6.28515625" style="21" customWidth="1"/>
    <col min="3564" max="3565" width="8.7109375" style="21" customWidth="1"/>
    <col min="3566" max="3566" width="9.5703125" style="21" customWidth="1"/>
    <col min="3567" max="3567" width="8.7109375" style="21" customWidth="1"/>
    <col min="3568" max="3568" width="14.5703125" style="21" customWidth="1"/>
    <col min="3569" max="3569" width="8.7109375" style="21" customWidth="1"/>
    <col min="3570" max="3570" width="10.42578125" style="21" customWidth="1"/>
    <col min="3571" max="3573" width="8.7109375" style="21" customWidth="1"/>
    <col min="3574" max="3574" width="9" style="21"/>
    <col min="3575" max="3576" width="8.7109375" style="21" customWidth="1"/>
    <col min="3577" max="3577" width="4.28515625" style="21" customWidth="1"/>
    <col min="3578" max="3578" width="7" style="21" customWidth="1"/>
    <col min="3579" max="3579" width="4.28515625" style="21" customWidth="1"/>
    <col min="3580" max="3580" width="7.7109375" style="21" customWidth="1"/>
    <col min="3581" max="3797" width="9" style="21"/>
    <col min="3798" max="3798" width="1.42578125" style="21" customWidth="1"/>
    <col min="3799" max="3799" width="31.85546875" style="21" customWidth="1"/>
    <col min="3800" max="3800" width="8.28515625" style="21" customWidth="1"/>
    <col min="3801" max="3801" width="9.7109375" style="21" customWidth="1"/>
    <col min="3802" max="3802" width="8.28515625" style="21" customWidth="1"/>
    <col min="3803" max="3803" width="6.5703125" style="21" customWidth="1"/>
    <col min="3804" max="3804" width="14" style="21" customWidth="1"/>
    <col min="3805" max="3805" width="6.7109375" style="21" customWidth="1"/>
    <col min="3806" max="3806" width="8.85546875" style="21" customWidth="1"/>
    <col min="3807" max="3807" width="7.7109375" style="21" customWidth="1"/>
    <col min="3808" max="3808" width="7.28515625" style="21" customWidth="1"/>
    <col min="3809" max="3809" width="7.7109375" style="21" customWidth="1"/>
    <col min="3810" max="3810" width="8.28515625" style="21" customWidth="1"/>
    <col min="3811" max="3812" width="6.7109375" style="21" customWidth="1"/>
    <col min="3813" max="3813" width="8.85546875" style="21" customWidth="1"/>
    <col min="3814" max="3815" width="7.5703125" style="21" customWidth="1"/>
    <col min="3816" max="3816" width="7.7109375" style="21" customWidth="1"/>
    <col min="3817" max="3818" width="8.28515625" style="21" customWidth="1"/>
    <col min="3819" max="3819" width="6.28515625" style="21" customWidth="1"/>
    <col min="3820" max="3821" width="8.7109375" style="21" customWidth="1"/>
    <col min="3822" max="3822" width="9.5703125" style="21" customWidth="1"/>
    <col min="3823" max="3823" width="8.7109375" style="21" customWidth="1"/>
    <col min="3824" max="3824" width="14.5703125" style="21" customWidth="1"/>
    <col min="3825" max="3825" width="8.7109375" style="21" customWidth="1"/>
    <col min="3826" max="3826" width="10.42578125" style="21" customWidth="1"/>
    <col min="3827" max="3829" width="8.7109375" style="21" customWidth="1"/>
    <col min="3830" max="3830" width="9" style="21"/>
    <col min="3831" max="3832" width="8.7109375" style="21" customWidth="1"/>
    <col min="3833" max="3833" width="4.28515625" style="21" customWidth="1"/>
    <col min="3834" max="3834" width="7" style="21" customWidth="1"/>
    <col min="3835" max="3835" width="4.28515625" style="21" customWidth="1"/>
    <col min="3836" max="3836" width="7.7109375" style="21" customWidth="1"/>
    <col min="3837" max="4053" width="9" style="21"/>
    <col min="4054" max="4054" width="1.42578125" style="21" customWidth="1"/>
    <col min="4055" max="4055" width="31.85546875" style="21" customWidth="1"/>
    <col min="4056" max="4056" width="8.28515625" style="21" customWidth="1"/>
    <col min="4057" max="4057" width="9.7109375" style="21" customWidth="1"/>
    <col min="4058" max="4058" width="8.28515625" style="21" customWidth="1"/>
    <col min="4059" max="4059" width="6.5703125" style="21" customWidth="1"/>
    <col min="4060" max="4060" width="14" style="21" customWidth="1"/>
    <col min="4061" max="4061" width="6.7109375" style="21" customWidth="1"/>
    <col min="4062" max="4062" width="8.85546875" style="21" customWidth="1"/>
    <col min="4063" max="4063" width="7.7109375" style="21" customWidth="1"/>
    <col min="4064" max="4064" width="7.28515625" style="21" customWidth="1"/>
    <col min="4065" max="4065" width="7.7109375" style="21" customWidth="1"/>
    <col min="4066" max="4066" width="8.28515625" style="21" customWidth="1"/>
    <col min="4067" max="4068" width="6.7109375" style="21" customWidth="1"/>
    <col min="4069" max="4069" width="8.85546875" style="21" customWidth="1"/>
    <col min="4070" max="4071" width="7.5703125" style="21" customWidth="1"/>
    <col min="4072" max="4072" width="7.7109375" style="21" customWidth="1"/>
    <col min="4073" max="4074" width="8.28515625" style="21" customWidth="1"/>
    <col min="4075" max="4075" width="6.28515625" style="21" customWidth="1"/>
    <col min="4076" max="4077" width="8.7109375" style="21" customWidth="1"/>
    <col min="4078" max="4078" width="9.5703125" style="21" customWidth="1"/>
    <col min="4079" max="4079" width="8.7109375" style="21" customWidth="1"/>
    <col min="4080" max="4080" width="14.5703125" style="21" customWidth="1"/>
    <col min="4081" max="4081" width="8.7109375" style="21" customWidth="1"/>
    <col min="4082" max="4082" width="10.42578125" style="21" customWidth="1"/>
    <col min="4083" max="4085" width="8.7109375" style="21" customWidth="1"/>
    <col min="4086" max="4086" width="9" style="21"/>
    <col min="4087" max="4088" width="8.7109375" style="21" customWidth="1"/>
    <col min="4089" max="4089" width="4.28515625" style="21" customWidth="1"/>
    <col min="4090" max="4090" width="7" style="21" customWidth="1"/>
    <col min="4091" max="4091" width="4.28515625" style="21" customWidth="1"/>
    <col min="4092" max="4092" width="7.7109375" style="21" customWidth="1"/>
    <col min="4093" max="4309" width="9" style="21"/>
    <col min="4310" max="4310" width="1.42578125" style="21" customWidth="1"/>
    <col min="4311" max="4311" width="31.85546875" style="21" customWidth="1"/>
    <col min="4312" max="4312" width="8.28515625" style="21" customWidth="1"/>
    <col min="4313" max="4313" width="9.7109375" style="21" customWidth="1"/>
    <col min="4314" max="4314" width="8.28515625" style="21" customWidth="1"/>
    <col min="4315" max="4315" width="6.5703125" style="21" customWidth="1"/>
    <col min="4316" max="4316" width="14" style="21" customWidth="1"/>
    <col min="4317" max="4317" width="6.7109375" style="21" customWidth="1"/>
    <col min="4318" max="4318" width="8.85546875" style="21" customWidth="1"/>
    <col min="4319" max="4319" width="7.7109375" style="21" customWidth="1"/>
    <col min="4320" max="4320" width="7.28515625" style="21" customWidth="1"/>
    <col min="4321" max="4321" width="7.7109375" style="21" customWidth="1"/>
    <col min="4322" max="4322" width="8.28515625" style="21" customWidth="1"/>
    <col min="4323" max="4324" width="6.7109375" style="21" customWidth="1"/>
    <col min="4325" max="4325" width="8.85546875" style="21" customWidth="1"/>
    <col min="4326" max="4327" width="7.5703125" style="21" customWidth="1"/>
    <col min="4328" max="4328" width="7.7109375" style="21" customWidth="1"/>
    <col min="4329" max="4330" width="8.28515625" style="21" customWidth="1"/>
    <col min="4331" max="4331" width="6.28515625" style="21" customWidth="1"/>
    <col min="4332" max="4333" width="8.7109375" style="21" customWidth="1"/>
    <col min="4334" max="4334" width="9.5703125" style="21" customWidth="1"/>
    <col min="4335" max="4335" width="8.7109375" style="21" customWidth="1"/>
    <col min="4336" max="4336" width="14.5703125" style="21" customWidth="1"/>
    <col min="4337" max="4337" width="8.7109375" style="21" customWidth="1"/>
    <col min="4338" max="4338" width="10.42578125" style="21" customWidth="1"/>
    <col min="4339" max="4341" width="8.7109375" style="21" customWidth="1"/>
    <col min="4342" max="4342" width="9" style="21"/>
    <col min="4343" max="4344" width="8.7109375" style="21" customWidth="1"/>
    <col min="4345" max="4345" width="4.28515625" style="21" customWidth="1"/>
    <col min="4346" max="4346" width="7" style="21" customWidth="1"/>
    <col min="4347" max="4347" width="4.28515625" style="21" customWidth="1"/>
    <col min="4348" max="4348" width="7.7109375" style="21" customWidth="1"/>
    <col min="4349" max="4565" width="9" style="21"/>
    <col min="4566" max="4566" width="1.42578125" style="21" customWidth="1"/>
    <col min="4567" max="4567" width="31.85546875" style="21" customWidth="1"/>
    <col min="4568" max="4568" width="8.28515625" style="21" customWidth="1"/>
    <col min="4569" max="4569" width="9.7109375" style="21" customWidth="1"/>
    <col min="4570" max="4570" width="8.28515625" style="21" customWidth="1"/>
    <col min="4571" max="4571" width="6.5703125" style="21" customWidth="1"/>
    <col min="4572" max="4572" width="14" style="21" customWidth="1"/>
    <col min="4573" max="4573" width="6.7109375" style="21" customWidth="1"/>
    <col min="4574" max="4574" width="8.85546875" style="21" customWidth="1"/>
    <col min="4575" max="4575" width="7.7109375" style="21" customWidth="1"/>
    <col min="4576" max="4576" width="7.28515625" style="21" customWidth="1"/>
    <col min="4577" max="4577" width="7.7109375" style="21" customWidth="1"/>
    <col min="4578" max="4578" width="8.28515625" style="21" customWidth="1"/>
    <col min="4579" max="4580" width="6.7109375" style="21" customWidth="1"/>
    <col min="4581" max="4581" width="8.85546875" style="21" customWidth="1"/>
    <col min="4582" max="4583" width="7.5703125" style="21" customWidth="1"/>
    <col min="4584" max="4584" width="7.7109375" style="21" customWidth="1"/>
    <col min="4585" max="4586" width="8.28515625" style="21" customWidth="1"/>
    <col min="4587" max="4587" width="6.28515625" style="21" customWidth="1"/>
    <col min="4588" max="4589" width="8.7109375" style="21" customWidth="1"/>
    <col min="4590" max="4590" width="9.5703125" style="21" customWidth="1"/>
    <col min="4591" max="4591" width="8.7109375" style="21" customWidth="1"/>
    <col min="4592" max="4592" width="14.5703125" style="21" customWidth="1"/>
    <col min="4593" max="4593" width="8.7109375" style="21" customWidth="1"/>
    <col min="4594" max="4594" width="10.42578125" style="21" customWidth="1"/>
    <col min="4595" max="4597" width="8.7109375" style="21" customWidth="1"/>
    <col min="4598" max="4598" width="9" style="21"/>
    <col min="4599" max="4600" width="8.7109375" style="21" customWidth="1"/>
    <col min="4601" max="4601" width="4.28515625" style="21" customWidth="1"/>
    <col min="4602" max="4602" width="7" style="21" customWidth="1"/>
    <col min="4603" max="4603" width="4.28515625" style="21" customWidth="1"/>
    <col min="4604" max="4604" width="7.7109375" style="21" customWidth="1"/>
    <col min="4605" max="4821" width="9" style="21"/>
    <col min="4822" max="4822" width="1.42578125" style="21" customWidth="1"/>
    <col min="4823" max="4823" width="31.85546875" style="21" customWidth="1"/>
    <col min="4824" max="4824" width="8.28515625" style="21" customWidth="1"/>
    <col min="4825" max="4825" width="9.7109375" style="21" customWidth="1"/>
    <col min="4826" max="4826" width="8.28515625" style="21" customWidth="1"/>
    <col min="4827" max="4827" width="6.5703125" style="21" customWidth="1"/>
    <col min="4828" max="4828" width="14" style="21" customWidth="1"/>
    <col min="4829" max="4829" width="6.7109375" style="21" customWidth="1"/>
    <col min="4830" max="4830" width="8.85546875" style="21" customWidth="1"/>
    <col min="4831" max="4831" width="7.7109375" style="21" customWidth="1"/>
    <col min="4832" max="4832" width="7.28515625" style="21" customWidth="1"/>
    <col min="4833" max="4833" width="7.7109375" style="21" customWidth="1"/>
    <col min="4834" max="4834" width="8.28515625" style="21" customWidth="1"/>
    <col min="4835" max="4836" width="6.7109375" style="21" customWidth="1"/>
    <col min="4837" max="4837" width="8.85546875" style="21" customWidth="1"/>
    <col min="4838" max="4839" width="7.5703125" style="21" customWidth="1"/>
    <col min="4840" max="4840" width="7.7109375" style="21" customWidth="1"/>
    <col min="4841" max="4842" width="8.28515625" style="21" customWidth="1"/>
    <col min="4843" max="4843" width="6.28515625" style="21" customWidth="1"/>
    <col min="4844" max="4845" width="8.7109375" style="21" customWidth="1"/>
    <col min="4846" max="4846" width="9.5703125" style="21" customWidth="1"/>
    <col min="4847" max="4847" width="8.7109375" style="21" customWidth="1"/>
    <col min="4848" max="4848" width="14.5703125" style="21" customWidth="1"/>
    <col min="4849" max="4849" width="8.7109375" style="21" customWidth="1"/>
    <col min="4850" max="4850" width="10.42578125" style="21" customWidth="1"/>
    <col min="4851" max="4853" width="8.7109375" style="21" customWidth="1"/>
    <col min="4854" max="4854" width="9" style="21"/>
    <col min="4855" max="4856" width="8.7109375" style="21" customWidth="1"/>
    <col min="4857" max="4857" width="4.28515625" style="21" customWidth="1"/>
    <col min="4858" max="4858" width="7" style="21" customWidth="1"/>
    <col min="4859" max="4859" width="4.28515625" style="21" customWidth="1"/>
    <col min="4860" max="4860" width="7.7109375" style="21" customWidth="1"/>
    <col min="4861" max="5077" width="9" style="21"/>
    <col min="5078" max="5078" width="1.42578125" style="21" customWidth="1"/>
    <col min="5079" max="5079" width="31.85546875" style="21" customWidth="1"/>
    <col min="5080" max="5080" width="8.28515625" style="21" customWidth="1"/>
    <col min="5081" max="5081" width="9.7109375" style="21" customWidth="1"/>
    <col min="5082" max="5082" width="8.28515625" style="21" customWidth="1"/>
    <col min="5083" max="5083" width="6.5703125" style="21" customWidth="1"/>
    <col min="5084" max="5084" width="14" style="21" customWidth="1"/>
    <col min="5085" max="5085" width="6.7109375" style="21" customWidth="1"/>
    <col min="5086" max="5086" width="8.85546875" style="21" customWidth="1"/>
    <col min="5087" max="5087" width="7.7109375" style="21" customWidth="1"/>
    <col min="5088" max="5088" width="7.28515625" style="21" customWidth="1"/>
    <col min="5089" max="5089" width="7.7109375" style="21" customWidth="1"/>
    <col min="5090" max="5090" width="8.28515625" style="21" customWidth="1"/>
    <col min="5091" max="5092" width="6.7109375" style="21" customWidth="1"/>
    <col min="5093" max="5093" width="8.85546875" style="21" customWidth="1"/>
    <col min="5094" max="5095" width="7.5703125" style="21" customWidth="1"/>
    <col min="5096" max="5096" width="7.7109375" style="21" customWidth="1"/>
    <col min="5097" max="5098" width="8.28515625" style="21" customWidth="1"/>
    <col min="5099" max="5099" width="6.28515625" style="21" customWidth="1"/>
    <col min="5100" max="5101" width="8.7109375" style="21" customWidth="1"/>
    <col min="5102" max="5102" width="9.5703125" style="21" customWidth="1"/>
    <col min="5103" max="5103" width="8.7109375" style="21" customWidth="1"/>
    <col min="5104" max="5104" width="14.5703125" style="21" customWidth="1"/>
    <col min="5105" max="5105" width="8.7109375" style="21" customWidth="1"/>
    <col min="5106" max="5106" width="10.42578125" style="21" customWidth="1"/>
    <col min="5107" max="5109" width="8.7109375" style="21" customWidth="1"/>
    <col min="5110" max="5110" width="9" style="21"/>
    <col min="5111" max="5112" width="8.7109375" style="21" customWidth="1"/>
    <col min="5113" max="5113" width="4.28515625" style="21" customWidth="1"/>
    <col min="5114" max="5114" width="7" style="21" customWidth="1"/>
    <col min="5115" max="5115" width="4.28515625" style="21" customWidth="1"/>
    <col min="5116" max="5116" width="7.7109375" style="21" customWidth="1"/>
    <col min="5117" max="5333" width="9" style="21"/>
    <col min="5334" max="5334" width="1.42578125" style="21" customWidth="1"/>
    <col min="5335" max="5335" width="31.85546875" style="21" customWidth="1"/>
    <col min="5336" max="5336" width="8.28515625" style="21" customWidth="1"/>
    <col min="5337" max="5337" width="9.7109375" style="21" customWidth="1"/>
    <col min="5338" max="5338" width="8.28515625" style="21" customWidth="1"/>
    <col min="5339" max="5339" width="6.5703125" style="21" customWidth="1"/>
    <col min="5340" max="5340" width="14" style="21" customWidth="1"/>
    <col min="5341" max="5341" width="6.7109375" style="21" customWidth="1"/>
    <col min="5342" max="5342" width="8.85546875" style="21" customWidth="1"/>
    <col min="5343" max="5343" width="7.7109375" style="21" customWidth="1"/>
    <col min="5344" max="5344" width="7.28515625" style="21" customWidth="1"/>
    <col min="5345" max="5345" width="7.7109375" style="21" customWidth="1"/>
    <col min="5346" max="5346" width="8.28515625" style="21" customWidth="1"/>
    <col min="5347" max="5348" width="6.7109375" style="21" customWidth="1"/>
    <col min="5349" max="5349" width="8.85546875" style="21" customWidth="1"/>
    <col min="5350" max="5351" width="7.5703125" style="21" customWidth="1"/>
    <col min="5352" max="5352" width="7.7109375" style="21" customWidth="1"/>
    <col min="5353" max="5354" width="8.28515625" style="21" customWidth="1"/>
    <col min="5355" max="5355" width="6.28515625" style="21" customWidth="1"/>
    <col min="5356" max="5357" width="8.7109375" style="21" customWidth="1"/>
    <col min="5358" max="5358" width="9.5703125" style="21" customWidth="1"/>
    <col min="5359" max="5359" width="8.7109375" style="21" customWidth="1"/>
    <col min="5360" max="5360" width="14.5703125" style="21" customWidth="1"/>
    <col min="5361" max="5361" width="8.7109375" style="21" customWidth="1"/>
    <col min="5362" max="5362" width="10.42578125" style="21" customWidth="1"/>
    <col min="5363" max="5365" width="8.7109375" style="21" customWidth="1"/>
    <col min="5366" max="5366" width="9" style="21"/>
    <col min="5367" max="5368" width="8.7109375" style="21" customWidth="1"/>
    <col min="5369" max="5369" width="4.28515625" style="21" customWidth="1"/>
    <col min="5370" max="5370" width="7" style="21" customWidth="1"/>
    <col min="5371" max="5371" width="4.28515625" style="21" customWidth="1"/>
    <col min="5372" max="5372" width="7.7109375" style="21" customWidth="1"/>
    <col min="5373" max="5589" width="9" style="21"/>
    <col min="5590" max="5590" width="1.42578125" style="21" customWidth="1"/>
    <col min="5591" max="5591" width="31.85546875" style="21" customWidth="1"/>
    <col min="5592" max="5592" width="8.28515625" style="21" customWidth="1"/>
    <col min="5593" max="5593" width="9.7109375" style="21" customWidth="1"/>
    <col min="5594" max="5594" width="8.28515625" style="21" customWidth="1"/>
    <col min="5595" max="5595" width="6.5703125" style="21" customWidth="1"/>
    <col min="5596" max="5596" width="14" style="21" customWidth="1"/>
    <col min="5597" max="5597" width="6.7109375" style="21" customWidth="1"/>
    <col min="5598" max="5598" width="8.85546875" style="21" customWidth="1"/>
    <col min="5599" max="5599" width="7.7109375" style="21" customWidth="1"/>
    <col min="5600" max="5600" width="7.28515625" style="21" customWidth="1"/>
    <col min="5601" max="5601" width="7.7109375" style="21" customWidth="1"/>
    <col min="5602" max="5602" width="8.28515625" style="21" customWidth="1"/>
    <col min="5603" max="5604" width="6.7109375" style="21" customWidth="1"/>
    <col min="5605" max="5605" width="8.85546875" style="21" customWidth="1"/>
    <col min="5606" max="5607" width="7.5703125" style="21" customWidth="1"/>
    <col min="5608" max="5608" width="7.7109375" style="21" customWidth="1"/>
    <col min="5609" max="5610" width="8.28515625" style="21" customWidth="1"/>
    <col min="5611" max="5611" width="6.28515625" style="21" customWidth="1"/>
    <col min="5612" max="5613" width="8.7109375" style="21" customWidth="1"/>
    <col min="5614" max="5614" width="9.5703125" style="21" customWidth="1"/>
    <col min="5615" max="5615" width="8.7109375" style="21" customWidth="1"/>
    <col min="5616" max="5616" width="14.5703125" style="21" customWidth="1"/>
    <col min="5617" max="5617" width="8.7109375" style="21" customWidth="1"/>
    <col min="5618" max="5618" width="10.42578125" style="21" customWidth="1"/>
    <col min="5619" max="5621" width="8.7109375" style="21" customWidth="1"/>
    <col min="5622" max="5622" width="9" style="21"/>
    <col min="5623" max="5624" width="8.7109375" style="21" customWidth="1"/>
    <col min="5625" max="5625" width="4.28515625" style="21" customWidth="1"/>
    <col min="5626" max="5626" width="7" style="21" customWidth="1"/>
    <col min="5627" max="5627" width="4.28515625" style="21" customWidth="1"/>
    <col min="5628" max="5628" width="7.7109375" style="21" customWidth="1"/>
    <col min="5629" max="5845" width="9" style="21"/>
    <col min="5846" max="5846" width="1.42578125" style="21" customWidth="1"/>
    <col min="5847" max="5847" width="31.85546875" style="21" customWidth="1"/>
    <col min="5848" max="5848" width="8.28515625" style="21" customWidth="1"/>
    <col min="5849" max="5849" width="9.7109375" style="21" customWidth="1"/>
    <col min="5850" max="5850" width="8.28515625" style="21" customWidth="1"/>
    <col min="5851" max="5851" width="6.5703125" style="21" customWidth="1"/>
    <col min="5852" max="5852" width="14" style="21" customWidth="1"/>
    <col min="5853" max="5853" width="6.7109375" style="21" customWidth="1"/>
    <col min="5854" max="5854" width="8.85546875" style="21" customWidth="1"/>
    <col min="5855" max="5855" width="7.7109375" style="21" customWidth="1"/>
    <col min="5856" max="5856" width="7.28515625" style="21" customWidth="1"/>
    <col min="5857" max="5857" width="7.7109375" style="21" customWidth="1"/>
    <col min="5858" max="5858" width="8.28515625" style="21" customWidth="1"/>
    <col min="5859" max="5860" width="6.7109375" style="21" customWidth="1"/>
    <col min="5861" max="5861" width="8.85546875" style="21" customWidth="1"/>
    <col min="5862" max="5863" width="7.5703125" style="21" customWidth="1"/>
    <col min="5864" max="5864" width="7.7109375" style="21" customWidth="1"/>
    <col min="5865" max="5866" width="8.28515625" style="21" customWidth="1"/>
    <col min="5867" max="5867" width="6.28515625" style="21" customWidth="1"/>
    <col min="5868" max="5869" width="8.7109375" style="21" customWidth="1"/>
    <col min="5870" max="5870" width="9.5703125" style="21" customWidth="1"/>
    <col min="5871" max="5871" width="8.7109375" style="21" customWidth="1"/>
    <col min="5872" max="5872" width="14.5703125" style="21" customWidth="1"/>
    <col min="5873" max="5873" width="8.7109375" style="21" customWidth="1"/>
    <col min="5874" max="5874" width="10.42578125" style="21" customWidth="1"/>
    <col min="5875" max="5877" width="8.7109375" style="21" customWidth="1"/>
    <col min="5878" max="5878" width="9" style="21"/>
    <col min="5879" max="5880" width="8.7109375" style="21" customWidth="1"/>
    <col min="5881" max="5881" width="4.28515625" style="21" customWidth="1"/>
    <col min="5882" max="5882" width="7" style="21" customWidth="1"/>
    <col min="5883" max="5883" width="4.28515625" style="21" customWidth="1"/>
    <col min="5884" max="5884" width="7.7109375" style="21" customWidth="1"/>
    <col min="5885" max="6101" width="9" style="21"/>
    <col min="6102" max="6102" width="1.42578125" style="21" customWidth="1"/>
    <col min="6103" max="6103" width="31.85546875" style="21" customWidth="1"/>
    <col min="6104" max="6104" width="8.28515625" style="21" customWidth="1"/>
    <col min="6105" max="6105" width="9.7109375" style="21" customWidth="1"/>
    <col min="6106" max="6106" width="8.28515625" style="21" customWidth="1"/>
    <col min="6107" max="6107" width="6.5703125" style="21" customWidth="1"/>
    <col min="6108" max="6108" width="14" style="21" customWidth="1"/>
    <col min="6109" max="6109" width="6.7109375" style="21" customWidth="1"/>
    <col min="6110" max="6110" width="8.85546875" style="21" customWidth="1"/>
    <col min="6111" max="6111" width="7.7109375" style="21" customWidth="1"/>
    <col min="6112" max="6112" width="7.28515625" style="21" customWidth="1"/>
    <col min="6113" max="6113" width="7.7109375" style="21" customWidth="1"/>
    <col min="6114" max="6114" width="8.28515625" style="21" customWidth="1"/>
    <col min="6115" max="6116" width="6.7109375" style="21" customWidth="1"/>
    <col min="6117" max="6117" width="8.85546875" style="21" customWidth="1"/>
    <col min="6118" max="6119" width="7.5703125" style="21" customWidth="1"/>
    <col min="6120" max="6120" width="7.7109375" style="21" customWidth="1"/>
    <col min="6121" max="6122" width="8.28515625" style="21" customWidth="1"/>
    <col min="6123" max="6123" width="6.28515625" style="21" customWidth="1"/>
    <col min="6124" max="6125" width="8.7109375" style="21" customWidth="1"/>
    <col min="6126" max="6126" width="9.5703125" style="21" customWidth="1"/>
    <col min="6127" max="6127" width="8.7109375" style="21" customWidth="1"/>
    <col min="6128" max="6128" width="14.5703125" style="21" customWidth="1"/>
    <col min="6129" max="6129" width="8.7109375" style="21" customWidth="1"/>
    <col min="6130" max="6130" width="10.42578125" style="21" customWidth="1"/>
    <col min="6131" max="6133" width="8.7109375" style="21" customWidth="1"/>
    <col min="6134" max="6134" width="9" style="21"/>
    <col min="6135" max="6136" width="8.7109375" style="21" customWidth="1"/>
    <col min="6137" max="6137" width="4.28515625" style="21" customWidth="1"/>
    <col min="6138" max="6138" width="7" style="21" customWidth="1"/>
    <col min="6139" max="6139" width="4.28515625" style="21" customWidth="1"/>
    <col min="6140" max="6140" width="7.7109375" style="21" customWidth="1"/>
    <col min="6141" max="6357" width="9" style="21"/>
    <col min="6358" max="6358" width="1.42578125" style="21" customWidth="1"/>
    <col min="6359" max="6359" width="31.85546875" style="21" customWidth="1"/>
    <col min="6360" max="6360" width="8.28515625" style="21" customWidth="1"/>
    <col min="6361" max="6361" width="9.7109375" style="21" customWidth="1"/>
    <col min="6362" max="6362" width="8.28515625" style="21" customWidth="1"/>
    <col min="6363" max="6363" width="6.5703125" style="21" customWidth="1"/>
    <col min="6364" max="6364" width="14" style="21" customWidth="1"/>
    <col min="6365" max="6365" width="6.7109375" style="21" customWidth="1"/>
    <col min="6366" max="6366" width="8.85546875" style="21" customWidth="1"/>
    <col min="6367" max="6367" width="7.7109375" style="21" customWidth="1"/>
    <col min="6368" max="6368" width="7.28515625" style="21" customWidth="1"/>
    <col min="6369" max="6369" width="7.7109375" style="21" customWidth="1"/>
    <col min="6370" max="6370" width="8.28515625" style="21" customWidth="1"/>
    <col min="6371" max="6372" width="6.7109375" style="21" customWidth="1"/>
    <col min="6373" max="6373" width="8.85546875" style="21" customWidth="1"/>
    <col min="6374" max="6375" width="7.5703125" style="21" customWidth="1"/>
    <col min="6376" max="6376" width="7.7109375" style="21" customWidth="1"/>
    <col min="6377" max="6378" width="8.28515625" style="21" customWidth="1"/>
    <col min="6379" max="6379" width="6.28515625" style="21" customWidth="1"/>
    <col min="6380" max="6381" width="8.7109375" style="21" customWidth="1"/>
    <col min="6382" max="6382" width="9.5703125" style="21" customWidth="1"/>
    <col min="6383" max="6383" width="8.7109375" style="21" customWidth="1"/>
    <col min="6384" max="6384" width="14.5703125" style="21" customWidth="1"/>
    <col min="6385" max="6385" width="8.7109375" style="21" customWidth="1"/>
    <col min="6386" max="6386" width="10.42578125" style="21" customWidth="1"/>
    <col min="6387" max="6389" width="8.7109375" style="21" customWidth="1"/>
    <col min="6390" max="6390" width="9" style="21"/>
    <col min="6391" max="6392" width="8.7109375" style="21" customWidth="1"/>
    <col min="6393" max="6393" width="4.28515625" style="21" customWidth="1"/>
    <col min="6394" max="6394" width="7" style="21" customWidth="1"/>
    <col min="6395" max="6395" width="4.28515625" style="21" customWidth="1"/>
    <col min="6396" max="6396" width="7.7109375" style="21" customWidth="1"/>
    <col min="6397" max="6613" width="9" style="21"/>
    <col min="6614" max="6614" width="1.42578125" style="21" customWidth="1"/>
    <col min="6615" max="6615" width="31.85546875" style="21" customWidth="1"/>
    <col min="6616" max="6616" width="8.28515625" style="21" customWidth="1"/>
    <col min="6617" max="6617" width="9.7109375" style="21" customWidth="1"/>
    <col min="6618" max="6618" width="8.28515625" style="21" customWidth="1"/>
    <col min="6619" max="6619" width="6.5703125" style="21" customWidth="1"/>
    <col min="6620" max="6620" width="14" style="21" customWidth="1"/>
    <col min="6621" max="6621" width="6.7109375" style="21" customWidth="1"/>
    <col min="6622" max="6622" width="8.85546875" style="21" customWidth="1"/>
    <col min="6623" max="6623" width="7.7109375" style="21" customWidth="1"/>
    <col min="6624" max="6624" width="7.28515625" style="21" customWidth="1"/>
    <col min="6625" max="6625" width="7.7109375" style="21" customWidth="1"/>
    <col min="6626" max="6626" width="8.28515625" style="21" customWidth="1"/>
    <col min="6627" max="6628" width="6.7109375" style="21" customWidth="1"/>
    <col min="6629" max="6629" width="8.85546875" style="21" customWidth="1"/>
    <col min="6630" max="6631" width="7.5703125" style="21" customWidth="1"/>
    <col min="6632" max="6632" width="7.7109375" style="21" customWidth="1"/>
    <col min="6633" max="6634" width="8.28515625" style="21" customWidth="1"/>
    <col min="6635" max="6635" width="6.28515625" style="21" customWidth="1"/>
    <col min="6636" max="6637" width="8.7109375" style="21" customWidth="1"/>
    <col min="6638" max="6638" width="9.5703125" style="21" customWidth="1"/>
    <col min="6639" max="6639" width="8.7109375" style="21" customWidth="1"/>
    <col min="6640" max="6640" width="14.5703125" style="21" customWidth="1"/>
    <col min="6641" max="6641" width="8.7109375" style="21" customWidth="1"/>
    <col min="6642" max="6642" width="10.42578125" style="21" customWidth="1"/>
    <col min="6643" max="6645" width="8.7109375" style="21" customWidth="1"/>
    <col min="6646" max="6646" width="9" style="21"/>
    <col min="6647" max="6648" width="8.7109375" style="21" customWidth="1"/>
    <col min="6649" max="6649" width="4.28515625" style="21" customWidth="1"/>
    <col min="6650" max="6650" width="7" style="21" customWidth="1"/>
    <col min="6651" max="6651" width="4.28515625" style="21" customWidth="1"/>
    <col min="6652" max="6652" width="7.7109375" style="21" customWidth="1"/>
    <col min="6653" max="6869" width="9" style="21"/>
    <col min="6870" max="6870" width="1.42578125" style="21" customWidth="1"/>
    <col min="6871" max="6871" width="31.85546875" style="21" customWidth="1"/>
    <col min="6872" max="6872" width="8.28515625" style="21" customWidth="1"/>
    <col min="6873" max="6873" width="9.7109375" style="21" customWidth="1"/>
    <col min="6874" max="6874" width="8.28515625" style="21" customWidth="1"/>
    <col min="6875" max="6875" width="6.5703125" style="21" customWidth="1"/>
    <col min="6876" max="6876" width="14" style="21" customWidth="1"/>
    <col min="6877" max="6877" width="6.7109375" style="21" customWidth="1"/>
    <col min="6878" max="6878" width="8.85546875" style="21" customWidth="1"/>
    <col min="6879" max="6879" width="7.7109375" style="21" customWidth="1"/>
    <col min="6880" max="6880" width="7.28515625" style="21" customWidth="1"/>
    <col min="6881" max="6881" width="7.7109375" style="21" customWidth="1"/>
    <col min="6882" max="6882" width="8.28515625" style="21" customWidth="1"/>
    <col min="6883" max="6884" width="6.7109375" style="21" customWidth="1"/>
    <col min="6885" max="6885" width="8.85546875" style="21" customWidth="1"/>
    <col min="6886" max="6887" width="7.5703125" style="21" customWidth="1"/>
    <col min="6888" max="6888" width="7.7109375" style="21" customWidth="1"/>
    <col min="6889" max="6890" width="8.28515625" style="21" customWidth="1"/>
    <col min="6891" max="6891" width="6.28515625" style="21" customWidth="1"/>
    <col min="6892" max="6893" width="8.7109375" style="21" customWidth="1"/>
    <col min="6894" max="6894" width="9.5703125" style="21" customWidth="1"/>
    <col min="6895" max="6895" width="8.7109375" style="21" customWidth="1"/>
    <col min="6896" max="6896" width="14.5703125" style="21" customWidth="1"/>
    <col min="6897" max="6897" width="8.7109375" style="21" customWidth="1"/>
    <col min="6898" max="6898" width="10.42578125" style="21" customWidth="1"/>
    <col min="6899" max="6901" width="8.7109375" style="21" customWidth="1"/>
    <col min="6902" max="6902" width="9" style="21"/>
    <col min="6903" max="6904" width="8.7109375" style="21" customWidth="1"/>
    <col min="6905" max="6905" width="4.28515625" style="21" customWidth="1"/>
    <col min="6906" max="6906" width="7" style="21" customWidth="1"/>
    <col min="6907" max="6907" width="4.28515625" style="21" customWidth="1"/>
    <col min="6908" max="6908" width="7.7109375" style="21" customWidth="1"/>
    <col min="6909" max="7125" width="9" style="21"/>
    <col min="7126" max="7126" width="1.42578125" style="21" customWidth="1"/>
    <col min="7127" max="7127" width="31.85546875" style="21" customWidth="1"/>
    <col min="7128" max="7128" width="8.28515625" style="21" customWidth="1"/>
    <col min="7129" max="7129" width="9.7109375" style="21" customWidth="1"/>
    <col min="7130" max="7130" width="8.28515625" style="21" customWidth="1"/>
    <col min="7131" max="7131" width="6.5703125" style="21" customWidth="1"/>
    <col min="7132" max="7132" width="14" style="21" customWidth="1"/>
    <col min="7133" max="7133" width="6.7109375" style="21" customWidth="1"/>
    <col min="7134" max="7134" width="8.85546875" style="21" customWidth="1"/>
    <col min="7135" max="7135" width="7.7109375" style="21" customWidth="1"/>
    <col min="7136" max="7136" width="7.28515625" style="21" customWidth="1"/>
    <col min="7137" max="7137" width="7.7109375" style="21" customWidth="1"/>
    <col min="7138" max="7138" width="8.28515625" style="21" customWidth="1"/>
    <col min="7139" max="7140" width="6.7109375" style="21" customWidth="1"/>
    <col min="7141" max="7141" width="8.85546875" style="21" customWidth="1"/>
    <col min="7142" max="7143" width="7.5703125" style="21" customWidth="1"/>
    <col min="7144" max="7144" width="7.7109375" style="21" customWidth="1"/>
    <col min="7145" max="7146" width="8.28515625" style="21" customWidth="1"/>
    <col min="7147" max="7147" width="6.28515625" style="21" customWidth="1"/>
    <col min="7148" max="7149" width="8.7109375" style="21" customWidth="1"/>
    <col min="7150" max="7150" width="9.5703125" style="21" customWidth="1"/>
    <col min="7151" max="7151" width="8.7109375" style="21" customWidth="1"/>
    <col min="7152" max="7152" width="14.5703125" style="21" customWidth="1"/>
    <col min="7153" max="7153" width="8.7109375" style="21" customWidth="1"/>
    <col min="7154" max="7154" width="10.42578125" style="21" customWidth="1"/>
    <col min="7155" max="7157" width="8.7109375" style="21" customWidth="1"/>
    <col min="7158" max="7158" width="9" style="21"/>
    <col min="7159" max="7160" width="8.7109375" style="21" customWidth="1"/>
    <col min="7161" max="7161" width="4.28515625" style="21" customWidth="1"/>
    <col min="7162" max="7162" width="7" style="21" customWidth="1"/>
    <col min="7163" max="7163" width="4.28515625" style="21" customWidth="1"/>
    <col min="7164" max="7164" width="7.7109375" style="21" customWidth="1"/>
    <col min="7165" max="7381" width="9" style="21"/>
    <col min="7382" max="7382" width="1.42578125" style="21" customWidth="1"/>
    <col min="7383" max="7383" width="31.85546875" style="21" customWidth="1"/>
    <col min="7384" max="7384" width="8.28515625" style="21" customWidth="1"/>
    <col min="7385" max="7385" width="9.7109375" style="21" customWidth="1"/>
    <col min="7386" max="7386" width="8.28515625" style="21" customWidth="1"/>
    <col min="7387" max="7387" width="6.5703125" style="21" customWidth="1"/>
    <col min="7388" max="7388" width="14" style="21" customWidth="1"/>
    <col min="7389" max="7389" width="6.7109375" style="21" customWidth="1"/>
    <col min="7390" max="7390" width="8.85546875" style="21" customWidth="1"/>
    <col min="7391" max="7391" width="7.7109375" style="21" customWidth="1"/>
    <col min="7392" max="7392" width="7.28515625" style="21" customWidth="1"/>
    <col min="7393" max="7393" width="7.7109375" style="21" customWidth="1"/>
    <col min="7394" max="7394" width="8.28515625" style="21" customWidth="1"/>
    <col min="7395" max="7396" width="6.7109375" style="21" customWidth="1"/>
    <col min="7397" max="7397" width="8.85546875" style="21" customWidth="1"/>
    <col min="7398" max="7399" width="7.5703125" style="21" customWidth="1"/>
    <col min="7400" max="7400" width="7.7109375" style="21" customWidth="1"/>
    <col min="7401" max="7402" width="8.28515625" style="21" customWidth="1"/>
    <col min="7403" max="7403" width="6.28515625" style="21" customWidth="1"/>
    <col min="7404" max="7405" width="8.7109375" style="21" customWidth="1"/>
    <col min="7406" max="7406" width="9.5703125" style="21" customWidth="1"/>
    <col min="7407" max="7407" width="8.7109375" style="21" customWidth="1"/>
    <col min="7408" max="7408" width="14.5703125" style="21" customWidth="1"/>
    <col min="7409" max="7409" width="8.7109375" style="21" customWidth="1"/>
    <col min="7410" max="7410" width="10.42578125" style="21" customWidth="1"/>
    <col min="7411" max="7413" width="8.7109375" style="21" customWidth="1"/>
    <col min="7414" max="7414" width="9" style="21"/>
    <col min="7415" max="7416" width="8.7109375" style="21" customWidth="1"/>
    <col min="7417" max="7417" width="4.28515625" style="21" customWidth="1"/>
    <col min="7418" max="7418" width="7" style="21" customWidth="1"/>
    <col min="7419" max="7419" width="4.28515625" style="21" customWidth="1"/>
    <col min="7420" max="7420" width="7.7109375" style="21" customWidth="1"/>
    <col min="7421" max="7637" width="9" style="21"/>
    <col min="7638" max="7638" width="1.42578125" style="21" customWidth="1"/>
    <col min="7639" max="7639" width="31.85546875" style="21" customWidth="1"/>
    <col min="7640" max="7640" width="8.28515625" style="21" customWidth="1"/>
    <col min="7641" max="7641" width="9.7109375" style="21" customWidth="1"/>
    <col min="7642" max="7642" width="8.28515625" style="21" customWidth="1"/>
    <col min="7643" max="7643" width="6.5703125" style="21" customWidth="1"/>
    <col min="7644" max="7644" width="14" style="21" customWidth="1"/>
    <col min="7645" max="7645" width="6.7109375" style="21" customWidth="1"/>
    <col min="7646" max="7646" width="8.85546875" style="21" customWidth="1"/>
    <col min="7647" max="7647" width="7.7109375" style="21" customWidth="1"/>
    <col min="7648" max="7648" width="7.28515625" style="21" customWidth="1"/>
    <col min="7649" max="7649" width="7.7109375" style="21" customWidth="1"/>
    <col min="7650" max="7650" width="8.28515625" style="21" customWidth="1"/>
    <col min="7651" max="7652" width="6.7109375" style="21" customWidth="1"/>
    <col min="7653" max="7653" width="8.85546875" style="21" customWidth="1"/>
    <col min="7654" max="7655" width="7.5703125" style="21" customWidth="1"/>
    <col min="7656" max="7656" width="7.7109375" style="21" customWidth="1"/>
    <col min="7657" max="7658" width="8.28515625" style="21" customWidth="1"/>
    <col min="7659" max="7659" width="6.28515625" style="21" customWidth="1"/>
    <col min="7660" max="7661" width="8.7109375" style="21" customWidth="1"/>
    <col min="7662" max="7662" width="9.5703125" style="21" customWidth="1"/>
    <col min="7663" max="7663" width="8.7109375" style="21" customWidth="1"/>
    <col min="7664" max="7664" width="14.5703125" style="21" customWidth="1"/>
    <col min="7665" max="7665" width="8.7109375" style="21" customWidth="1"/>
    <col min="7666" max="7666" width="10.42578125" style="21" customWidth="1"/>
    <col min="7667" max="7669" width="8.7109375" style="21" customWidth="1"/>
    <col min="7670" max="7670" width="9" style="21"/>
    <col min="7671" max="7672" width="8.7109375" style="21" customWidth="1"/>
    <col min="7673" max="7673" width="4.28515625" style="21" customWidth="1"/>
    <col min="7674" max="7674" width="7" style="21" customWidth="1"/>
    <col min="7675" max="7675" width="4.28515625" style="21" customWidth="1"/>
    <col min="7676" max="7676" width="7.7109375" style="21" customWidth="1"/>
    <col min="7677" max="7893" width="9" style="21"/>
    <col min="7894" max="7894" width="1.42578125" style="21" customWidth="1"/>
    <col min="7895" max="7895" width="31.85546875" style="21" customWidth="1"/>
    <col min="7896" max="7896" width="8.28515625" style="21" customWidth="1"/>
    <col min="7897" max="7897" width="9.7109375" style="21" customWidth="1"/>
    <col min="7898" max="7898" width="8.28515625" style="21" customWidth="1"/>
    <col min="7899" max="7899" width="6.5703125" style="21" customWidth="1"/>
    <col min="7900" max="7900" width="14" style="21" customWidth="1"/>
    <col min="7901" max="7901" width="6.7109375" style="21" customWidth="1"/>
    <col min="7902" max="7902" width="8.85546875" style="21" customWidth="1"/>
    <col min="7903" max="7903" width="7.7109375" style="21" customWidth="1"/>
    <col min="7904" max="7904" width="7.28515625" style="21" customWidth="1"/>
    <col min="7905" max="7905" width="7.7109375" style="21" customWidth="1"/>
    <col min="7906" max="7906" width="8.28515625" style="21" customWidth="1"/>
    <col min="7907" max="7908" width="6.7109375" style="21" customWidth="1"/>
    <col min="7909" max="7909" width="8.85546875" style="21" customWidth="1"/>
    <col min="7910" max="7911" width="7.5703125" style="21" customWidth="1"/>
    <col min="7912" max="7912" width="7.7109375" style="21" customWidth="1"/>
    <col min="7913" max="7914" width="8.28515625" style="21" customWidth="1"/>
    <col min="7915" max="7915" width="6.28515625" style="21" customWidth="1"/>
    <col min="7916" max="7917" width="8.7109375" style="21" customWidth="1"/>
    <col min="7918" max="7918" width="9.5703125" style="21" customWidth="1"/>
    <col min="7919" max="7919" width="8.7109375" style="21" customWidth="1"/>
    <col min="7920" max="7920" width="14.5703125" style="21" customWidth="1"/>
    <col min="7921" max="7921" width="8.7109375" style="21" customWidth="1"/>
    <col min="7922" max="7922" width="10.42578125" style="21" customWidth="1"/>
    <col min="7923" max="7925" width="8.7109375" style="21" customWidth="1"/>
    <col min="7926" max="7926" width="9" style="21"/>
    <col min="7927" max="7928" width="8.7109375" style="21" customWidth="1"/>
    <col min="7929" max="7929" width="4.28515625" style="21" customWidth="1"/>
    <col min="7930" max="7930" width="7" style="21" customWidth="1"/>
    <col min="7931" max="7931" width="4.28515625" style="21" customWidth="1"/>
    <col min="7932" max="7932" width="7.7109375" style="21" customWidth="1"/>
    <col min="7933" max="8149" width="9" style="21"/>
    <col min="8150" max="8150" width="1.42578125" style="21" customWidth="1"/>
    <col min="8151" max="8151" width="31.85546875" style="21" customWidth="1"/>
    <col min="8152" max="8152" width="8.28515625" style="21" customWidth="1"/>
    <col min="8153" max="8153" width="9.7109375" style="21" customWidth="1"/>
    <col min="8154" max="8154" width="8.28515625" style="21" customWidth="1"/>
    <col min="8155" max="8155" width="6.5703125" style="21" customWidth="1"/>
    <col min="8156" max="8156" width="14" style="21" customWidth="1"/>
    <col min="8157" max="8157" width="6.7109375" style="21" customWidth="1"/>
    <col min="8158" max="8158" width="8.85546875" style="21" customWidth="1"/>
    <col min="8159" max="8159" width="7.7109375" style="21" customWidth="1"/>
    <col min="8160" max="8160" width="7.28515625" style="21" customWidth="1"/>
    <col min="8161" max="8161" width="7.7109375" style="21" customWidth="1"/>
    <col min="8162" max="8162" width="8.28515625" style="21" customWidth="1"/>
    <col min="8163" max="8164" width="6.7109375" style="21" customWidth="1"/>
    <col min="8165" max="8165" width="8.85546875" style="21" customWidth="1"/>
    <col min="8166" max="8167" width="7.5703125" style="21" customWidth="1"/>
    <col min="8168" max="8168" width="7.7109375" style="21" customWidth="1"/>
    <col min="8169" max="8170" width="8.28515625" style="21" customWidth="1"/>
    <col min="8171" max="8171" width="6.28515625" style="21" customWidth="1"/>
    <col min="8172" max="8173" width="8.7109375" style="21" customWidth="1"/>
    <col min="8174" max="8174" width="9.5703125" style="21" customWidth="1"/>
    <col min="8175" max="8175" width="8.7109375" style="21" customWidth="1"/>
    <col min="8176" max="8176" width="14.5703125" style="21" customWidth="1"/>
    <col min="8177" max="8177" width="8.7109375" style="21" customWidth="1"/>
    <col min="8178" max="8178" width="10.42578125" style="21" customWidth="1"/>
    <col min="8179" max="8181" width="8.7109375" style="21" customWidth="1"/>
    <col min="8182" max="8182" width="9" style="21"/>
    <col min="8183" max="8184" width="8.7109375" style="21" customWidth="1"/>
    <col min="8185" max="8185" width="4.28515625" style="21" customWidth="1"/>
    <col min="8186" max="8186" width="7" style="21" customWidth="1"/>
    <col min="8187" max="8187" width="4.28515625" style="21" customWidth="1"/>
    <col min="8188" max="8188" width="7.7109375" style="21" customWidth="1"/>
    <col min="8189" max="8405" width="9" style="21"/>
    <col min="8406" max="8406" width="1.42578125" style="21" customWidth="1"/>
    <col min="8407" max="8407" width="31.85546875" style="21" customWidth="1"/>
    <col min="8408" max="8408" width="8.28515625" style="21" customWidth="1"/>
    <col min="8409" max="8409" width="9.7109375" style="21" customWidth="1"/>
    <col min="8410" max="8410" width="8.28515625" style="21" customWidth="1"/>
    <col min="8411" max="8411" width="6.5703125" style="21" customWidth="1"/>
    <col min="8412" max="8412" width="14" style="21" customWidth="1"/>
    <col min="8413" max="8413" width="6.7109375" style="21" customWidth="1"/>
    <col min="8414" max="8414" width="8.85546875" style="21" customWidth="1"/>
    <col min="8415" max="8415" width="7.7109375" style="21" customWidth="1"/>
    <col min="8416" max="8416" width="7.28515625" style="21" customWidth="1"/>
    <col min="8417" max="8417" width="7.7109375" style="21" customWidth="1"/>
    <col min="8418" max="8418" width="8.28515625" style="21" customWidth="1"/>
    <col min="8419" max="8420" width="6.7109375" style="21" customWidth="1"/>
    <col min="8421" max="8421" width="8.85546875" style="21" customWidth="1"/>
    <col min="8422" max="8423" width="7.5703125" style="21" customWidth="1"/>
    <col min="8424" max="8424" width="7.7109375" style="21" customWidth="1"/>
    <col min="8425" max="8426" width="8.28515625" style="21" customWidth="1"/>
    <col min="8427" max="8427" width="6.28515625" style="21" customWidth="1"/>
    <col min="8428" max="8429" width="8.7109375" style="21" customWidth="1"/>
    <col min="8430" max="8430" width="9.5703125" style="21" customWidth="1"/>
    <col min="8431" max="8431" width="8.7109375" style="21" customWidth="1"/>
    <col min="8432" max="8432" width="14.5703125" style="21" customWidth="1"/>
    <col min="8433" max="8433" width="8.7109375" style="21" customWidth="1"/>
    <col min="8434" max="8434" width="10.42578125" style="21" customWidth="1"/>
    <col min="8435" max="8437" width="8.7109375" style="21" customWidth="1"/>
    <col min="8438" max="8438" width="9" style="21"/>
    <col min="8439" max="8440" width="8.7109375" style="21" customWidth="1"/>
    <col min="8441" max="8441" width="4.28515625" style="21" customWidth="1"/>
    <col min="8442" max="8442" width="7" style="21" customWidth="1"/>
    <col min="8443" max="8443" width="4.28515625" style="21" customWidth="1"/>
    <col min="8444" max="8444" width="7.7109375" style="21" customWidth="1"/>
    <col min="8445" max="8661" width="9" style="21"/>
    <col min="8662" max="8662" width="1.42578125" style="21" customWidth="1"/>
    <col min="8663" max="8663" width="31.85546875" style="21" customWidth="1"/>
    <col min="8664" max="8664" width="8.28515625" style="21" customWidth="1"/>
    <col min="8665" max="8665" width="9.7109375" style="21" customWidth="1"/>
    <col min="8666" max="8666" width="8.28515625" style="21" customWidth="1"/>
    <col min="8667" max="8667" width="6.5703125" style="21" customWidth="1"/>
    <col min="8668" max="8668" width="14" style="21" customWidth="1"/>
    <col min="8669" max="8669" width="6.7109375" style="21" customWidth="1"/>
    <col min="8670" max="8670" width="8.85546875" style="21" customWidth="1"/>
    <col min="8671" max="8671" width="7.7109375" style="21" customWidth="1"/>
    <col min="8672" max="8672" width="7.28515625" style="21" customWidth="1"/>
    <col min="8673" max="8673" width="7.7109375" style="21" customWidth="1"/>
    <col min="8674" max="8674" width="8.28515625" style="21" customWidth="1"/>
    <col min="8675" max="8676" width="6.7109375" style="21" customWidth="1"/>
    <col min="8677" max="8677" width="8.85546875" style="21" customWidth="1"/>
    <col min="8678" max="8679" width="7.5703125" style="21" customWidth="1"/>
    <col min="8680" max="8680" width="7.7109375" style="21" customWidth="1"/>
    <col min="8681" max="8682" width="8.28515625" style="21" customWidth="1"/>
    <col min="8683" max="8683" width="6.28515625" style="21" customWidth="1"/>
    <col min="8684" max="8685" width="8.7109375" style="21" customWidth="1"/>
    <col min="8686" max="8686" width="9.5703125" style="21" customWidth="1"/>
    <col min="8687" max="8687" width="8.7109375" style="21" customWidth="1"/>
    <col min="8688" max="8688" width="14.5703125" style="21" customWidth="1"/>
    <col min="8689" max="8689" width="8.7109375" style="21" customWidth="1"/>
    <col min="8690" max="8690" width="10.42578125" style="21" customWidth="1"/>
    <col min="8691" max="8693" width="8.7109375" style="21" customWidth="1"/>
    <col min="8694" max="8694" width="9" style="21"/>
    <col min="8695" max="8696" width="8.7109375" style="21" customWidth="1"/>
    <col min="8697" max="8697" width="4.28515625" style="21" customWidth="1"/>
    <col min="8698" max="8698" width="7" style="21" customWidth="1"/>
    <col min="8699" max="8699" width="4.28515625" style="21" customWidth="1"/>
    <col min="8700" max="8700" width="7.7109375" style="21" customWidth="1"/>
    <col min="8701" max="8917" width="9" style="21"/>
    <col min="8918" max="8918" width="1.42578125" style="21" customWidth="1"/>
    <col min="8919" max="8919" width="31.85546875" style="21" customWidth="1"/>
    <col min="8920" max="8920" width="8.28515625" style="21" customWidth="1"/>
    <col min="8921" max="8921" width="9.7109375" style="21" customWidth="1"/>
    <col min="8922" max="8922" width="8.28515625" style="21" customWidth="1"/>
    <col min="8923" max="8923" width="6.5703125" style="21" customWidth="1"/>
    <col min="8924" max="8924" width="14" style="21" customWidth="1"/>
    <col min="8925" max="8925" width="6.7109375" style="21" customWidth="1"/>
    <col min="8926" max="8926" width="8.85546875" style="21" customWidth="1"/>
    <col min="8927" max="8927" width="7.7109375" style="21" customWidth="1"/>
    <col min="8928" max="8928" width="7.28515625" style="21" customWidth="1"/>
    <col min="8929" max="8929" width="7.7109375" style="21" customWidth="1"/>
    <col min="8930" max="8930" width="8.28515625" style="21" customWidth="1"/>
    <col min="8931" max="8932" width="6.7109375" style="21" customWidth="1"/>
    <col min="8933" max="8933" width="8.85546875" style="21" customWidth="1"/>
    <col min="8934" max="8935" width="7.5703125" style="21" customWidth="1"/>
    <col min="8936" max="8936" width="7.7109375" style="21" customWidth="1"/>
    <col min="8937" max="8938" width="8.28515625" style="21" customWidth="1"/>
    <col min="8939" max="8939" width="6.28515625" style="21" customWidth="1"/>
    <col min="8940" max="8941" width="8.7109375" style="21" customWidth="1"/>
    <col min="8942" max="8942" width="9.5703125" style="21" customWidth="1"/>
    <col min="8943" max="8943" width="8.7109375" style="21" customWidth="1"/>
    <col min="8944" max="8944" width="14.5703125" style="21" customWidth="1"/>
    <col min="8945" max="8945" width="8.7109375" style="21" customWidth="1"/>
    <col min="8946" max="8946" width="10.42578125" style="21" customWidth="1"/>
    <col min="8947" max="8949" width="8.7109375" style="21" customWidth="1"/>
    <col min="8950" max="8950" width="9" style="21"/>
    <col min="8951" max="8952" width="8.7109375" style="21" customWidth="1"/>
    <col min="8953" max="8953" width="4.28515625" style="21" customWidth="1"/>
    <col min="8954" max="8954" width="7" style="21" customWidth="1"/>
    <col min="8955" max="8955" width="4.28515625" style="21" customWidth="1"/>
    <col min="8956" max="8956" width="7.7109375" style="21" customWidth="1"/>
    <col min="8957" max="9173" width="9" style="21"/>
    <col min="9174" max="9174" width="1.42578125" style="21" customWidth="1"/>
    <col min="9175" max="9175" width="31.85546875" style="21" customWidth="1"/>
    <col min="9176" max="9176" width="8.28515625" style="21" customWidth="1"/>
    <col min="9177" max="9177" width="9.7109375" style="21" customWidth="1"/>
    <col min="9178" max="9178" width="8.28515625" style="21" customWidth="1"/>
    <col min="9179" max="9179" width="6.5703125" style="21" customWidth="1"/>
    <col min="9180" max="9180" width="14" style="21" customWidth="1"/>
    <col min="9181" max="9181" width="6.7109375" style="21" customWidth="1"/>
    <col min="9182" max="9182" width="8.85546875" style="21" customWidth="1"/>
    <col min="9183" max="9183" width="7.7109375" style="21" customWidth="1"/>
    <col min="9184" max="9184" width="7.28515625" style="21" customWidth="1"/>
    <col min="9185" max="9185" width="7.7109375" style="21" customWidth="1"/>
    <col min="9186" max="9186" width="8.28515625" style="21" customWidth="1"/>
    <col min="9187" max="9188" width="6.7109375" style="21" customWidth="1"/>
    <col min="9189" max="9189" width="8.85546875" style="21" customWidth="1"/>
    <col min="9190" max="9191" width="7.5703125" style="21" customWidth="1"/>
    <col min="9192" max="9192" width="7.7109375" style="21" customWidth="1"/>
    <col min="9193" max="9194" width="8.28515625" style="21" customWidth="1"/>
    <col min="9195" max="9195" width="6.28515625" style="21" customWidth="1"/>
    <col min="9196" max="9197" width="8.7109375" style="21" customWidth="1"/>
    <col min="9198" max="9198" width="9.5703125" style="21" customWidth="1"/>
    <col min="9199" max="9199" width="8.7109375" style="21" customWidth="1"/>
    <col min="9200" max="9200" width="14.5703125" style="21" customWidth="1"/>
    <col min="9201" max="9201" width="8.7109375" style="21" customWidth="1"/>
    <col min="9202" max="9202" width="10.42578125" style="21" customWidth="1"/>
    <col min="9203" max="9205" width="8.7109375" style="21" customWidth="1"/>
    <col min="9206" max="9206" width="9" style="21"/>
    <col min="9207" max="9208" width="8.7109375" style="21" customWidth="1"/>
    <col min="9209" max="9209" width="4.28515625" style="21" customWidth="1"/>
    <col min="9210" max="9210" width="7" style="21" customWidth="1"/>
    <col min="9211" max="9211" width="4.28515625" style="21" customWidth="1"/>
    <col min="9212" max="9212" width="7.7109375" style="21" customWidth="1"/>
    <col min="9213" max="9429" width="9" style="21"/>
    <col min="9430" max="9430" width="1.42578125" style="21" customWidth="1"/>
    <col min="9431" max="9431" width="31.85546875" style="21" customWidth="1"/>
    <col min="9432" max="9432" width="8.28515625" style="21" customWidth="1"/>
    <col min="9433" max="9433" width="9.7109375" style="21" customWidth="1"/>
    <col min="9434" max="9434" width="8.28515625" style="21" customWidth="1"/>
    <col min="9435" max="9435" width="6.5703125" style="21" customWidth="1"/>
    <col min="9436" max="9436" width="14" style="21" customWidth="1"/>
    <col min="9437" max="9437" width="6.7109375" style="21" customWidth="1"/>
    <col min="9438" max="9438" width="8.85546875" style="21" customWidth="1"/>
    <col min="9439" max="9439" width="7.7109375" style="21" customWidth="1"/>
    <col min="9440" max="9440" width="7.28515625" style="21" customWidth="1"/>
    <col min="9441" max="9441" width="7.7109375" style="21" customWidth="1"/>
    <col min="9442" max="9442" width="8.28515625" style="21" customWidth="1"/>
    <col min="9443" max="9444" width="6.7109375" style="21" customWidth="1"/>
    <col min="9445" max="9445" width="8.85546875" style="21" customWidth="1"/>
    <col min="9446" max="9447" width="7.5703125" style="21" customWidth="1"/>
    <col min="9448" max="9448" width="7.7109375" style="21" customWidth="1"/>
    <col min="9449" max="9450" width="8.28515625" style="21" customWidth="1"/>
    <col min="9451" max="9451" width="6.28515625" style="21" customWidth="1"/>
    <col min="9452" max="9453" width="8.7109375" style="21" customWidth="1"/>
    <col min="9454" max="9454" width="9.5703125" style="21" customWidth="1"/>
    <col min="9455" max="9455" width="8.7109375" style="21" customWidth="1"/>
    <col min="9456" max="9456" width="14.5703125" style="21" customWidth="1"/>
    <col min="9457" max="9457" width="8.7109375" style="21" customWidth="1"/>
    <col min="9458" max="9458" width="10.42578125" style="21" customWidth="1"/>
    <col min="9459" max="9461" width="8.7109375" style="21" customWidth="1"/>
    <col min="9462" max="9462" width="9" style="21"/>
    <col min="9463" max="9464" width="8.7109375" style="21" customWidth="1"/>
    <col min="9465" max="9465" width="4.28515625" style="21" customWidth="1"/>
    <col min="9466" max="9466" width="7" style="21" customWidth="1"/>
    <col min="9467" max="9467" width="4.28515625" style="21" customWidth="1"/>
    <col min="9468" max="9468" width="7.7109375" style="21" customWidth="1"/>
    <col min="9469" max="9685" width="9" style="21"/>
    <col min="9686" max="9686" width="1.42578125" style="21" customWidth="1"/>
    <col min="9687" max="9687" width="31.85546875" style="21" customWidth="1"/>
    <col min="9688" max="9688" width="8.28515625" style="21" customWidth="1"/>
    <col min="9689" max="9689" width="9.7109375" style="21" customWidth="1"/>
    <col min="9690" max="9690" width="8.28515625" style="21" customWidth="1"/>
    <col min="9691" max="9691" width="6.5703125" style="21" customWidth="1"/>
    <col min="9692" max="9692" width="14" style="21" customWidth="1"/>
    <col min="9693" max="9693" width="6.7109375" style="21" customWidth="1"/>
    <col min="9694" max="9694" width="8.85546875" style="21" customWidth="1"/>
    <col min="9695" max="9695" width="7.7109375" style="21" customWidth="1"/>
    <col min="9696" max="9696" width="7.28515625" style="21" customWidth="1"/>
    <col min="9697" max="9697" width="7.7109375" style="21" customWidth="1"/>
    <col min="9698" max="9698" width="8.28515625" style="21" customWidth="1"/>
    <col min="9699" max="9700" width="6.7109375" style="21" customWidth="1"/>
    <col min="9701" max="9701" width="8.85546875" style="21" customWidth="1"/>
    <col min="9702" max="9703" width="7.5703125" style="21" customWidth="1"/>
    <col min="9704" max="9704" width="7.7109375" style="21" customWidth="1"/>
    <col min="9705" max="9706" width="8.28515625" style="21" customWidth="1"/>
    <col min="9707" max="9707" width="6.28515625" style="21" customWidth="1"/>
    <col min="9708" max="9709" width="8.7109375" style="21" customWidth="1"/>
    <col min="9710" max="9710" width="9.5703125" style="21" customWidth="1"/>
    <col min="9711" max="9711" width="8.7109375" style="21" customWidth="1"/>
    <col min="9712" max="9712" width="14.5703125" style="21" customWidth="1"/>
    <col min="9713" max="9713" width="8.7109375" style="21" customWidth="1"/>
    <col min="9714" max="9714" width="10.42578125" style="21" customWidth="1"/>
    <col min="9715" max="9717" width="8.7109375" style="21" customWidth="1"/>
    <col min="9718" max="9718" width="9" style="21"/>
    <col min="9719" max="9720" width="8.7109375" style="21" customWidth="1"/>
    <col min="9721" max="9721" width="4.28515625" style="21" customWidth="1"/>
    <col min="9722" max="9722" width="7" style="21" customWidth="1"/>
    <col min="9723" max="9723" width="4.28515625" style="21" customWidth="1"/>
    <col min="9724" max="9724" width="7.7109375" style="21" customWidth="1"/>
    <col min="9725" max="9941" width="9" style="21"/>
    <col min="9942" max="9942" width="1.42578125" style="21" customWidth="1"/>
    <col min="9943" max="9943" width="31.85546875" style="21" customWidth="1"/>
    <col min="9944" max="9944" width="8.28515625" style="21" customWidth="1"/>
    <col min="9945" max="9945" width="9.7109375" style="21" customWidth="1"/>
    <col min="9946" max="9946" width="8.28515625" style="21" customWidth="1"/>
    <col min="9947" max="9947" width="6.5703125" style="21" customWidth="1"/>
    <col min="9948" max="9948" width="14" style="21" customWidth="1"/>
    <col min="9949" max="9949" width="6.7109375" style="21" customWidth="1"/>
    <col min="9950" max="9950" width="8.85546875" style="21" customWidth="1"/>
    <col min="9951" max="9951" width="7.7109375" style="21" customWidth="1"/>
    <col min="9952" max="9952" width="7.28515625" style="21" customWidth="1"/>
    <col min="9953" max="9953" width="7.7109375" style="21" customWidth="1"/>
    <col min="9954" max="9954" width="8.28515625" style="21" customWidth="1"/>
    <col min="9955" max="9956" width="6.7109375" style="21" customWidth="1"/>
    <col min="9957" max="9957" width="8.85546875" style="21" customWidth="1"/>
    <col min="9958" max="9959" width="7.5703125" style="21" customWidth="1"/>
    <col min="9960" max="9960" width="7.7109375" style="21" customWidth="1"/>
    <col min="9961" max="9962" width="8.28515625" style="21" customWidth="1"/>
    <col min="9963" max="9963" width="6.28515625" style="21" customWidth="1"/>
    <col min="9964" max="9965" width="8.7109375" style="21" customWidth="1"/>
    <col min="9966" max="9966" width="9.5703125" style="21" customWidth="1"/>
    <col min="9967" max="9967" width="8.7109375" style="21" customWidth="1"/>
    <col min="9968" max="9968" width="14.5703125" style="21" customWidth="1"/>
    <col min="9969" max="9969" width="8.7109375" style="21" customWidth="1"/>
    <col min="9970" max="9970" width="10.42578125" style="21" customWidth="1"/>
    <col min="9971" max="9973" width="8.7109375" style="21" customWidth="1"/>
    <col min="9974" max="9974" width="9" style="21"/>
    <col min="9975" max="9976" width="8.7109375" style="21" customWidth="1"/>
    <col min="9977" max="9977" width="4.28515625" style="21" customWidth="1"/>
    <col min="9978" max="9978" width="7" style="21" customWidth="1"/>
    <col min="9979" max="9979" width="4.28515625" style="21" customWidth="1"/>
    <col min="9980" max="9980" width="7.7109375" style="21" customWidth="1"/>
    <col min="9981" max="10197" width="9" style="21"/>
    <col min="10198" max="10198" width="1.42578125" style="21" customWidth="1"/>
    <col min="10199" max="10199" width="31.85546875" style="21" customWidth="1"/>
    <col min="10200" max="10200" width="8.28515625" style="21" customWidth="1"/>
    <col min="10201" max="10201" width="9.7109375" style="21" customWidth="1"/>
    <col min="10202" max="10202" width="8.28515625" style="21" customWidth="1"/>
    <col min="10203" max="10203" width="6.5703125" style="21" customWidth="1"/>
    <col min="10204" max="10204" width="14" style="21" customWidth="1"/>
    <col min="10205" max="10205" width="6.7109375" style="21" customWidth="1"/>
    <col min="10206" max="10206" width="8.85546875" style="21" customWidth="1"/>
    <col min="10207" max="10207" width="7.7109375" style="21" customWidth="1"/>
    <col min="10208" max="10208" width="7.28515625" style="21" customWidth="1"/>
    <col min="10209" max="10209" width="7.7109375" style="21" customWidth="1"/>
    <col min="10210" max="10210" width="8.28515625" style="21" customWidth="1"/>
    <col min="10211" max="10212" width="6.7109375" style="21" customWidth="1"/>
    <col min="10213" max="10213" width="8.85546875" style="21" customWidth="1"/>
    <col min="10214" max="10215" width="7.5703125" style="21" customWidth="1"/>
    <col min="10216" max="10216" width="7.7109375" style="21" customWidth="1"/>
    <col min="10217" max="10218" width="8.28515625" style="21" customWidth="1"/>
    <col min="10219" max="10219" width="6.28515625" style="21" customWidth="1"/>
    <col min="10220" max="10221" width="8.7109375" style="21" customWidth="1"/>
    <col min="10222" max="10222" width="9.5703125" style="21" customWidth="1"/>
    <col min="10223" max="10223" width="8.7109375" style="21" customWidth="1"/>
    <col min="10224" max="10224" width="14.5703125" style="21" customWidth="1"/>
    <col min="10225" max="10225" width="8.7109375" style="21" customWidth="1"/>
    <col min="10226" max="10226" width="10.42578125" style="21" customWidth="1"/>
    <col min="10227" max="10229" width="8.7109375" style="21" customWidth="1"/>
    <col min="10230" max="10230" width="9" style="21"/>
    <col min="10231" max="10232" width="8.7109375" style="21" customWidth="1"/>
    <col min="10233" max="10233" width="4.28515625" style="21" customWidth="1"/>
    <col min="10234" max="10234" width="7" style="21" customWidth="1"/>
    <col min="10235" max="10235" width="4.28515625" style="21" customWidth="1"/>
    <col min="10236" max="10236" width="7.7109375" style="21" customWidth="1"/>
    <col min="10237" max="10453" width="9" style="21"/>
    <col min="10454" max="10454" width="1.42578125" style="21" customWidth="1"/>
    <col min="10455" max="10455" width="31.85546875" style="21" customWidth="1"/>
    <col min="10456" max="10456" width="8.28515625" style="21" customWidth="1"/>
    <col min="10457" max="10457" width="9.7109375" style="21" customWidth="1"/>
    <col min="10458" max="10458" width="8.28515625" style="21" customWidth="1"/>
    <col min="10459" max="10459" width="6.5703125" style="21" customWidth="1"/>
    <col min="10460" max="10460" width="14" style="21" customWidth="1"/>
    <col min="10461" max="10461" width="6.7109375" style="21" customWidth="1"/>
    <col min="10462" max="10462" width="8.85546875" style="21" customWidth="1"/>
    <col min="10463" max="10463" width="7.7109375" style="21" customWidth="1"/>
    <col min="10464" max="10464" width="7.28515625" style="21" customWidth="1"/>
    <col min="10465" max="10465" width="7.7109375" style="21" customWidth="1"/>
    <col min="10466" max="10466" width="8.28515625" style="21" customWidth="1"/>
    <col min="10467" max="10468" width="6.7109375" style="21" customWidth="1"/>
    <col min="10469" max="10469" width="8.85546875" style="21" customWidth="1"/>
    <col min="10470" max="10471" width="7.5703125" style="21" customWidth="1"/>
    <col min="10472" max="10472" width="7.7109375" style="21" customWidth="1"/>
    <col min="10473" max="10474" width="8.28515625" style="21" customWidth="1"/>
    <col min="10475" max="10475" width="6.28515625" style="21" customWidth="1"/>
    <col min="10476" max="10477" width="8.7109375" style="21" customWidth="1"/>
    <col min="10478" max="10478" width="9.5703125" style="21" customWidth="1"/>
    <col min="10479" max="10479" width="8.7109375" style="21" customWidth="1"/>
    <col min="10480" max="10480" width="14.5703125" style="21" customWidth="1"/>
    <col min="10481" max="10481" width="8.7109375" style="21" customWidth="1"/>
    <col min="10482" max="10482" width="10.42578125" style="21" customWidth="1"/>
    <col min="10483" max="10485" width="8.7109375" style="21" customWidth="1"/>
    <col min="10486" max="10486" width="9" style="21"/>
    <col min="10487" max="10488" width="8.7109375" style="21" customWidth="1"/>
    <col min="10489" max="10489" width="4.28515625" style="21" customWidth="1"/>
    <col min="10490" max="10490" width="7" style="21" customWidth="1"/>
    <col min="10491" max="10491" width="4.28515625" style="21" customWidth="1"/>
    <col min="10492" max="10492" width="7.7109375" style="21" customWidth="1"/>
    <col min="10493" max="10709" width="9" style="21"/>
    <col min="10710" max="10710" width="1.42578125" style="21" customWidth="1"/>
    <col min="10711" max="10711" width="31.85546875" style="21" customWidth="1"/>
    <col min="10712" max="10712" width="8.28515625" style="21" customWidth="1"/>
    <col min="10713" max="10713" width="9.7109375" style="21" customWidth="1"/>
    <col min="10714" max="10714" width="8.28515625" style="21" customWidth="1"/>
    <col min="10715" max="10715" width="6.5703125" style="21" customWidth="1"/>
    <col min="10716" max="10716" width="14" style="21" customWidth="1"/>
    <col min="10717" max="10717" width="6.7109375" style="21" customWidth="1"/>
    <col min="10718" max="10718" width="8.85546875" style="21" customWidth="1"/>
    <col min="10719" max="10719" width="7.7109375" style="21" customWidth="1"/>
    <col min="10720" max="10720" width="7.28515625" style="21" customWidth="1"/>
    <col min="10721" max="10721" width="7.7109375" style="21" customWidth="1"/>
    <col min="10722" max="10722" width="8.28515625" style="21" customWidth="1"/>
    <col min="10723" max="10724" width="6.7109375" style="21" customWidth="1"/>
    <col min="10725" max="10725" width="8.85546875" style="21" customWidth="1"/>
    <col min="10726" max="10727" width="7.5703125" style="21" customWidth="1"/>
    <col min="10728" max="10728" width="7.7109375" style="21" customWidth="1"/>
    <col min="10729" max="10730" width="8.28515625" style="21" customWidth="1"/>
    <col min="10731" max="10731" width="6.28515625" style="21" customWidth="1"/>
    <col min="10732" max="10733" width="8.7109375" style="21" customWidth="1"/>
    <col min="10734" max="10734" width="9.5703125" style="21" customWidth="1"/>
    <col min="10735" max="10735" width="8.7109375" style="21" customWidth="1"/>
    <col min="10736" max="10736" width="14.5703125" style="21" customWidth="1"/>
    <col min="10737" max="10737" width="8.7109375" style="21" customWidth="1"/>
    <col min="10738" max="10738" width="10.42578125" style="21" customWidth="1"/>
    <col min="10739" max="10741" width="8.7109375" style="21" customWidth="1"/>
    <col min="10742" max="10742" width="9" style="21"/>
    <col min="10743" max="10744" width="8.7109375" style="21" customWidth="1"/>
    <col min="10745" max="10745" width="4.28515625" style="21" customWidth="1"/>
    <col min="10746" max="10746" width="7" style="21" customWidth="1"/>
    <col min="10747" max="10747" width="4.28515625" style="21" customWidth="1"/>
    <col min="10748" max="10748" width="7.7109375" style="21" customWidth="1"/>
    <col min="10749" max="10965" width="9" style="21"/>
    <col min="10966" max="10966" width="1.42578125" style="21" customWidth="1"/>
    <col min="10967" max="10967" width="31.85546875" style="21" customWidth="1"/>
    <col min="10968" max="10968" width="8.28515625" style="21" customWidth="1"/>
    <col min="10969" max="10969" width="9.7109375" style="21" customWidth="1"/>
    <col min="10970" max="10970" width="8.28515625" style="21" customWidth="1"/>
    <col min="10971" max="10971" width="6.5703125" style="21" customWidth="1"/>
    <col min="10972" max="10972" width="14" style="21" customWidth="1"/>
    <col min="10973" max="10973" width="6.7109375" style="21" customWidth="1"/>
    <col min="10974" max="10974" width="8.85546875" style="21" customWidth="1"/>
    <col min="10975" max="10975" width="7.7109375" style="21" customWidth="1"/>
    <col min="10976" max="10976" width="7.28515625" style="21" customWidth="1"/>
    <col min="10977" max="10977" width="7.7109375" style="21" customWidth="1"/>
    <col min="10978" max="10978" width="8.28515625" style="21" customWidth="1"/>
    <col min="10979" max="10980" width="6.7109375" style="21" customWidth="1"/>
    <col min="10981" max="10981" width="8.85546875" style="21" customWidth="1"/>
    <col min="10982" max="10983" width="7.5703125" style="21" customWidth="1"/>
    <col min="10984" max="10984" width="7.7109375" style="21" customWidth="1"/>
    <col min="10985" max="10986" width="8.28515625" style="21" customWidth="1"/>
    <col min="10987" max="10987" width="6.28515625" style="21" customWidth="1"/>
    <col min="10988" max="10989" width="8.7109375" style="21" customWidth="1"/>
    <col min="10990" max="10990" width="9.5703125" style="21" customWidth="1"/>
    <col min="10991" max="10991" width="8.7109375" style="21" customWidth="1"/>
    <col min="10992" max="10992" width="14.5703125" style="21" customWidth="1"/>
    <col min="10993" max="10993" width="8.7109375" style="21" customWidth="1"/>
    <col min="10994" max="10994" width="10.42578125" style="21" customWidth="1"/>
    <col min="10995" max="10997" width="8.7109375" style="21" customWidth="1"/>
    <col min="10998" max="10998" width="9" style="21"/>
    <col min="10999" max="11000" width="8.7109375" style="21" customWidth="1"/>
    <col min="11001" max="11001" width="4.28515625" style="21" customWidth="1"/>
    <col min="11002" max="11002" width="7" style="21" customWidth="1"/>
    <col min="11003" max="11003" width="4.28515625" style="21" customWidth="1"/>
    <col min="11004" max="11004" width="7.7109375" style="21" customWidth="1"/>
    <col min="11005" max="11221" width="9" style="21"/>
    <col min="11222" max="11222" width="1.42578125" style="21" customWidth="1"/>
    <col min="11223" max="11223" width="31.85546875" style="21" customWidth="1"/>
    <col min="11224" max="11224" width="8.28515625" style="21" customWidth="1"/>
    <col min="11225" max="11225" width="9.7109375" style="21" customWidth="1"/>
    <col min="11226" max="11226" width="8.28515625" style="21" customWidth="1"/>
    <col min="11227" max="11227" width="6.5703125" style="21" customWidth="1"/>
    <col min="11228" max="11228" width="14" style="21" customWidth="1"/>
    <col min="11229" max="11229" width="6.7109375" style="21" customWidth="1"/>
    <col min="11230" max="11230" width="8.85546875" style="21" customWidth="1"/>
    <col min="11231" max="11231" width="7.7109375" style="21" customWidth="1"/>
    <col min="11232" max="11232" width="7.28515625" style="21" customWidth="1"/>
    <col min="11233" max="11233" width="7.7109375" style="21" customWidth="1"/>
    <col min="11234" max="11234" width="8.28515625" style="21" customWidth="1"/>
    <col min="11235" max="11236" width="6.7109375" style="21" customWidth="1"/>
    <col min="11237" max="11237" width="8.85546875" style="21" customWidth="1"/>
    <col min="11238" max="11239" width="7.5703125" style="21" customWidth="1"/>
    <col min="11240" max="11240" width="7.7109375" style="21" customWidth="1"/>
    <col min="11241" max="11242" width="8.28515625" style="21" customWidth="1"/>
    <col min="11243" max="11243" width="6.28515625" style="21" customWidth="1"/>
    <col min="11244" max="11245" width="8.7109375" style="21" customWidth="1"/>
    <col min="11246" max="11246" width="9.5703125" style="21" customWidth="1"/>
    <col min="11247" max="11247" width="8.7109375" style="21" customWidth="1"/>
    <col min="11248" max="11248" width="14.5703125" style="21" customWidth="1"/>
    <col min="11249" max="11249" width="8.7109375" style="21" customWidth="1"/>
    <col min="11250" max="11250" width="10.42578125" style="21" customWidth="1"/>
    <col min="11251" max="11253" width="8.7109375" style="21" customWidth="1"/>
    <col min="11254" max="11254" width="9" style="21"/>
    <col min="11255" max="11256" width="8.7109375" style="21" customWidth="1"/>
    <col min="11257" max="11257" width="4.28515625" style="21" customWidth="1"/>
    <col min="11258" max="11258" width="7" style="21" customWidth="1"/>
    <col min="11259" max="11259" width="4.28515625" style="21" customWidth="1"/>
    <col min="11260" max="11260" width="7.7109375" style="21" customWidth="1"/>
    <col min="11261" max="11477" width="9" style="21"/>
    <col min="11478" max="11478" width="1.42578125" style="21" customWidth="1"/>
    <col min="11479" max="11479" width="31.85546875" style="21" customWidth="1"/>
    <col min="11480" max="11480" width="8.28515625" style="21" customWidth="1"/>
    <col min="11481" max="11481" width="9.7109375" style="21" customWidth="1"/>
    <col min="11482" max="11482" width="8.28515625" style="21" customWidth="1"/>
    <col min="11483" max="11483" width="6.5703125" style="21" customWidth="1"/>
    <col min="11484" max="11484" width="14" style="21" customWidth="1"/>
    <col min="11485" max="11485" width="6.7109375" style="21" customWidth="1"/>
    <col min="11486" max="11486" width="8.85546875" style="21" customWidth="1"/>
    <col min="11487" max="11487" width="7.7109375" style="21" customWidth="1"/>
    <col min="11488" max="11488" width="7.28515625" style="21" customWidth="1"/>
    <col min="11489" max="11489" width="7.7109375" style="21" customWidth="1"/>
    <col min="11490" max="11490" width="8.28515625" style="21" customWidth="1"/>
    <col min="11491" max="11492" width="6.7109375" style="21" customWidth="1"/>
    <col min="11493" max="11493" width="8.85546875" style="21" customWidth="1"/>
    <col min="11494" max="11495" width="7.5703125" style="21" customWidth="1"/>
    <col min="11496" max="11496" width="7.7109375" style="21" customWidth="1"/>
    <col min="11497" max="11498" width="8.28515625" style="21" customWidth="1"/>
    <col min="11499" max="11499" width="6.28515625" style="21" customWidth="1"/>
    <col min="11500" max="11501" width="8.7109375" style="21" customWidth="1"/>
    <col min="11502" max="11502" width="9.5703125" style="21" customWidth="1"/>
    <col min="11503" max="11503" width="8.7109375" style="21" customWidth="1"/>
    <col min="11504" max="11504" width="14.5703125" style="21" customWidth="1"/>
    <col min="11505" max="11505" width="8.7109375" style="21" customWidth="1"/>
    <col min="11506" max="11506" width="10.42578125" style="21" customWidth="1"/>
    <col min="11507" max="11509" width="8.7109375" style="21" customWidth="1"/>
    <col min="11510" max="11510" width="9" style="21"/>
    <col min="11511" max="11512" width="8.7109375" style="21" customWidth="1"/>
    <col min="11513" max="11513" width="4.28515625" style="21" customWidth="1"/>
    <col min="11514" max="11514" width="7" style="21" customWidth="1"/>
    <col min="11515" max="11515" width="4.28515625" style="21" customWidth="1"/>
    <col min="11516" max="11516" width="7.7109375" style="21" customWidth="1"/>
    <col min="11517" max="11733" width="9" style="21"/>
    <col min="11734" max="11734" width="1.42578125" style="21" customWidth="1"/>
    <col min="11735" max="11735" width="31.85546875" style="21" customWidth="1"/>
    <col min="11736" max="11736" width="8.28515625" style="21" customWidth="1"/>
    <col min="11737" max="11737" width="9.7109375" style="21" customWidth="1"/>
    <col min="11738" max="11738" width="8.28515625" style="21" customWidth="1"/>
    <col min="11739" max="11739" width="6.5703125" style="21" customWidth="1"/>
    <col min="11740" max="11740" width="14" style="21" customWidth="1"/>
    <col min="11741" max="11741" width="6.7109375" style="21" customWidth="1"/>
    <col min="11742" max="11742" width="8.85546875" style="21" customWidth="1"/>
    <col min="11743" max="11743" width="7.7109375" style="21" customWidth="1"/>
    <col min="11744" max="11744" width="7.28515625" style="21" customWidth="1"/>
    <col min="11745" max="11745" width="7.7109375" style="21" customWidth="1"/>
    <col min="11746" max="11746" width="8.28515625" style="21" customWidth="1"/>
    <col min="11747" max="11748" width="6.7109375" style="21" customWidth="1"/>
    <col min="11749" max="11749" width="8.85546875" style="21" customWidth="1"/>
    <col min="11750" max="11751" width="7.5703125" style="21" customWidth="1"/>
    <col min="11752" max="11752" width="7.7109375" style="21" customWidth="1"/>
    <col min="11753" max="11754" width="8.28515625" style="21" customWidth="1"/>
    <col min="11755" max="11755" width="6.28515625" style="21" customWidth="1"/>
    <col min="11756" max="11757" width="8.7109375" style="21" customWidth="1"/>
    <col min="11758" max="11758" width="9.5703125" style="21" customWidth="1"/>
    <col min="11759" max="11759" width="8.7109375" style="21" customWidth="1"/>
    <col min="11760" max="11760" width="14.5703125" style="21" customWidth="1"/>
    <col min="11761" max="11761" width="8.7109375" style="21" customWidth="1"/>
    <col min="11762" max="11762" width="10.42578125" style="21" customWidth="1"/>
    <col min="11763" max="11765" width="8.7109375" style="21" customWidth="1"/>
    <col min="11766" max="11766" width="9" style="21"/>
    <col min="11767" max="11768" width="8.7109375" style="21" customWidth="1"/>
    <col min="11769" max="11769" width="4.28515625" style="21" customWidth="1"/>
    <col min="11770" max="11770" width="7" style="21" customWidth="1"/>
    <col min="11771" max="11771" width="4.28515625" style="21" customWidth="1"/>
    <col min="11772" max="11772" width="7.7109375" style="21" customWidth="1"/>
    <col min="11773" max="11989" width="9" style="21"/>
    <col min="11990" max="11990" width="1.42578125" style="21" customWidth="1"/>
    <col min="11991" max="11991" width="31.85546875" style="21" customWidth="1"/>
    <col min="11992" max="11992" width="8.28515625" style="21" customWidth="1"/>
    <col min="11993" max="11993" width="9.7109375" style="21" customWidth="1"/>
    <col min="11994" max="11994" width="8.28515625" style="21" customWidth="1"/>
    <col min="11995" max="11995" width="6.5703125" style="21" customWidth="1"/>
    <col min="11996" max="11996" width="14" style="21" customWidth="1"/>
    <col min="11997" max="11997" width="6.7109375" style="21" customWidth="1"/>
    <col min="11998" max="11998" width="8.85546875" style="21" customWidth="1"/>
    <col min="11999" max="11999" width="7.7109375" style="21" customWidth="1"/>
    <col min="12000" max="12000" width="7.28515625" style="21" customWidth="1"/>
    <col min="12001" max="12001" width="7.7109375" style="21" customWidth="1"/>
    <col min="12002" max="12002" width="8.28515625" style="21" customWidth="1"/>
    <col min="12003" max="12004" width="6.7109375" style="21" customWidth="1"/>
    <col min="12005" max="12005" width="8.85546875" style="21" customWidth="1"/>
    <col min="12006" max="12007" width="7.5703125" style="21" customWidth="1"/>
    <col min="12008" max="12008" width="7.7109375" style="21" customWidth="1"/>
    <col min="12009" max="12010" width="8.28515625" style="21" customWidth="1"/>
    <col min="12011" max="12011" width="6.28515625" style="21" customWidth="1"/>
    <col min="12012" max="12013" width="8.7109375" style="21" customWidth="1"/>
    <col min="12014" max="12014" width="9.5703125" style="21" customWidth="1"/>
    <col min="12015" max="12015" width="8.7109375" style="21" customWidth="1"/>
    <col min="12016" max="12016" width="14.5703125" style="21" customWidth="1"/>
    <col min="12017" max="12017" width="8.7109375" style="21" customWidth="1"/>
    <col min="12018" max="12018" width="10.42578125" style="21" customWidth="1"/>
    <col min="12019" max="12021" width="8.7109375" style="21" customWidth="1"/>
    <col min="12022" max="12022" width="9" style="21"/>
    <col min="12023" max="12024" width="8.7109375" style="21" customWidth="1"/>
    <col min="12025" max="12025" width="4.28515625" style="21" customWidth="1"/>
    <col min="12026" max="12026" width="7" style="21" customWidth="1"/>
    <col min="12027" max="12027" width="4.28515625" style="21" customWidth="1"/>
    <col min="12028" max="12028" width="7.7109375" style="21" customWidth="1"/>
    <col min="12029" max="12245" width="9" style="21"/>
    <col min="12246" max="12246" width="1.42578125" style="21" customWidth="1"/>
    <col min="12247" max="12247" width="31.85546875" style="21" customWidth="1"/>
    <col min="12248" max="12248" width="8.28515625" style="21" customWidth="1"/>
    <col min="12249" max="12249" width="9.7109375" style="21" customWidth="1"/>
    <col min="12250" max="12250" width="8.28515625" style="21" customWidth="1"/>
    <col min="12251" max="12251" width="6.5703125" style="21" customWidth="1"/>
    <col min="12252" max="12252" width="14" style="21" customWidth="1"/>
    <col min="12253" max="12253" width="6.7109375" style="21" customWidth="1"/>
    <col min="12254" max="12254" width="8.85546875" style="21" customWidth="1"/>
    <col min="12255" max="12255" width="7.7109375" style="21" customWidth="1"/>
    <col min="12256" max="12256" width="7.28515625" style="21" customWidth="1"/>
    <col min="12257" max="12257" width="7.7109375" style="21" customWidth="1"/>
    <col min="12258" max="12258" width="8.28515625" style="21" customWidth="1"/>
    <col min="12259" max="12260" width="6.7109375" style="21" customWidth="1"/>
    <col min="12261" max="12261" width="8.85546875" style="21" customWidth="1"/>
    <col min="12262" max="12263" width="7.5703125" style="21" customWidth="1"/>
    <col min="12264" max="12264" width="7.7109375" style="21" customWidth="1"/>
    <col min="12265" max="12266" width="8.28515625" style="21" customWidth="1"/>
    <col min="12267" max="12267" width="6.28515625" style="21" customWidth="1"/>
    <col min="12268" max="12269" width="8.7109375" style="21" customWidth="1"/>
    <col min="12270" max="12270" width="9.5703125" style="21" customWidth="1"/>
    <col min="12271" max="12271" width="8.7109375" style="21" customWidth="1"/>
    <col min="12272" max="12272" width="14.5703125" style="21" customWidth="1"/>
    <col min="12273" max="12273" width="8.7109375" style="21" customWidth="1"/>
    <col min="12274" max="12274" width="10.42578125" style="21" customWidth="1"/>
    <col min="12275" max="12277" width="8.7109375" style="21" customWidth="1"/>
    <col min="12278" max="12278" width="9" style="21"/>
    <col min="12279" max="12280" width="8.7109375" style="21" customWidth="1"/>
    <col min="12281" max="12281" width="4.28515625" style="21" customWidth="1"/>
    <col min="12282" max="12282" width="7" style="21" customWidth="1"/>
    <col min="12283" max="12283" width="4.28515625" style="21" customWidth="1"/>
    <col min="12284" max="12284" width="7.7109375" style="21" customWidth="1"/>
    <col min="12285" max="12501" width="9" style="21"/>
    <col min="12502" max="12502" width="1.42578125" style="21" customWidth="1"/>
    <col min="12503" max="12503" width="31.85546875" style="21" customWidth="1"/>
    <col min="12504" max="12504" width="8.28515625" style="21" customWidth="1"/>
    <col min="12505" max="12505" width="9.7109375" style="21" customWidth="1"/>
    <col min="12506" max="12506" width="8.28515625" style="21" customWidth="1"/>
    <col min="12507" max="12507" width="6.5703125" style="21" customWidth="1"/>
    <col min="12508" max="12508" width="14" style="21" customWidth="1"/>
    <col min="12509" max="12509" width="6.7109375" style="21" customWidth="1"/>
    <col min="12510" max="12510" width="8.85546875" style="21" customWidth="1"/>
    <col min="12511" max="12511" width="7.7109375" style="21" customWidth="1"/>
    <col min="12512" max="12512" width="7.28515625" style="21" customWidth="1"/>
    <col min="12513" max="12513" width="7.7109375" style="21" customWidth="1"/>
    <col min="12514" max="12514" width="8.28515625" style="21" customWidth="1"/>
    <col min="12515" max="12516" width="6.7109375" style="21" customWidth="1"/>
    <col min="12517" max="12517" width="8.85546875" style="21" customWidth="1"/>
    <col min="12518" max="12519" width="7.5703125" style="21" customWidth="1"/>
    <col min="12520" max="12520" width="7.7109375" style="21" customWidth="1"/>
    <col min="12521" max="12522" width="8.28515625" style="21" customWidth="1"/>
    <col min="12523" max="12523" width="6.28515625" style="21" customWidth="1"/>
    <col min="12524" max="12525" width="8.7109375" style="21" customWidth="1"/>
    <col min="12526" max="12526" width="9.5703125" style="21" customWidth="1"/>
    <col min="12527" max="12527" width="8.7109375" style="21" customWidth="1"/>
    <col min="12528" max="12528" width="14.5703125" style="21" customWidth="1"/>
    <col min="12529" max="12529" width="8.7109375" style="21" customWidth="1"/>
    <col min="12530" max="12530" width="10.42578125" style="21" customWidth="1"/>
    <col min="12531" max="12533" width="8.7109375" style="21" customWidth="1"/>
    <col min="12534" max="12534" width="9" style="21"/>
    <col min="12535" max="12536" width="8.7109375" style="21" customWidth="1"/>
    <col min="12537" max="12537" width="4.28515625" style="21" customWidth="1"/>
    <col min="12538" max="12538" width="7" style="21" customWidth="1"/>
    <col min="12539" max="12539" width="4.28515625" style="21" customWidth="1"/>
    <col min="12540" max="12540" width="7.7109375" style="21" customWidth="1"/>
    <col min="12541" max="12757" width="9" style="21"/>
    <col min="12758" max="12758" width="1.42578125" style="21" customWidth="1"/>
    <col min="12759" max="12759" width="31.85546875" style="21" customWidth="1"/>
    <col min="12760" max="12760" width="8.28515625" style="21" customWidth="1"/>
    <col min="12761" max="12761" width="9.7109375" style="21" customWidth="1"/>
    <col min="12762" max="12762" width="8.28515625" style="21" customWidth="1"/>
    <col min="12763" max="12763" width="6.5703125" style="21" customWidth="1"/>
    <col min="12764" max="12764" width="14" style="21" customWidth="1"/>
    <col min="12765" max="12765" width="6.7109375" style="21" customWidth="1"/>
    <col min="12766" max="12766" width="8.85546875" style="21" customWidth="1"/>
    <col min="12767" max="12767" width="7.7109375" style="21" customWidth="1"/>
    <col min="12768" max="12768" width="7.28515625" style="21" customWidth="1"/>
    <col min="12769" max="12769" width="7.7109375" style="21" customWidth="1"/>
    <col min="12770" max="12770" width="8.28515625" style="21" customWidth="1"/>
    <col min="12771" max="12772" width="6.7109375" style="21" customWidth="1"/>
    <col min="12773" max="12773" width="8.85546875" style="21" customWidth="1"/>
    <col min="12774" max="12775" width="7.5703125" style="21" customWidth="1"/>
    <col min="12776" max="12776" width="7.7109375" style="21" customWidth="1"/>
    <col min="12777" max="12778" width="8.28515625" style="21" customWidth="1"/>
    <col min="12779" max="12779" width="6.28515625" style="21" customWidth="1"/>
    <col min="12780" max="12781" width="8.7109375" style="21" customWidth="1"/>
    <col min="12782" max="12782" width="9.5703125" style="21" customWidth="1"/>
    <col min="12783" max="12783" width="8.7109375" style="21" customWidth="1"/>
    <col min="12784" max="12784" width="14.5703125" style="21" customWidth="1"/>
    <col min="12785" max="12785" width="8.7109375" style="21" customWidth="1"/>
    <col min="12786" max="12786" width="10.42578125" style="21" customWidth="1"/>
    <col min="12787" max="12789" width="8.7109375" style="21" customWidth="1"/>
    <col min="12790" max="12790" width="9" style="21"/>
    <col min="12791" max="12792" width="8.7109375" style="21" customWidth="1"/>
    <col min="12793" max="12793" width="4.28515625" style="21" customWidth="1"/>
    <col min="12794" max="12794" width="7" style="21" customWidth="1"/>
    <col min="12795" max="12795" width="4.28515625" style="21" customWidth="1"/>
    <col min="12796" max="12796" width="7.7109375" style="21" customWidth="1"/>
    <col min="12797" max="13013" width="9" style="21"/>
    <col min="13014" max="13014" width="1.42578125" style="21" customWidth="1"/>
    <col min="13015" max="13015" width="31.85546875" style="21" customWidth="1"/>
    <col min="13016" max="13016" width="8.28515625" style="21" customWidth="1"/>
    <col min="13017" max="13017" width="9.7109375" style="21" customWidth="1"/>
    <col min="13018" max="13018" width="8.28515625" style="21" customWidth="1"/>
    <col min="13019" max="13019" width="6.5703125" style="21" customWidth="1"/>
    <col min="13020" max="13020" width="14" style="21" customWidth="1"/>
    <col min="13021" max="13021" width="6.7109375" style="21" customWidth="1"/>
    <col min="13022" max="13022" width="8.85546875" style="21" customWidth="1"/>
    <col min="13023" max="13023" width="7.7109375" style="21" customWidth="1"/>
    <col min="13024" max="13024" width="7.28515625" style="21" customWidth="1"/>
    <col min="13025" max="13025" width="7.7109375" style="21" customWidth="1"/>
    <col min="13026" max="13026" width="8.28515625" style="21" customWidth="1"/>
    <col min="13027" max="13028" width="6.7109375" style="21" customWidth="1"/>
    <col min="13029" max="13029" width="8.85546875" style="21" customWidth="1"/>
    <col min="13030" max="13031" width="7.5703125" style="21" customWidth="1"/>
    <col min="13032" max="13032" width="7.7109375" style="21" customWidth="1"/>
    <col min="13033" max="13034" width="8.28515625" style="21" customWidth="1"/>
    <col min="13035" max="13035" width="6.28515625" style="21" customWidth="1"/>
    <col min="13036" max="13037" width="8.7109375" style="21" customWidth="1"/>
    <col min="13038" max="13038" width="9.5703125" style="21" customWidth="1"/>
    <col min="13039" max="13039" width="8.7109375" style="21" customWidth="1"/>
    <col min="13040" max="13040" width="14.5703125" style="21" customWidth="1"/>
    <col min="13041" max="13041" width="8.7109375" style="21" customWidth="1"/>
    <col min="13042" max="13042" width="10.42578125" style="21" customWidth="1"/>
    <col min="13043" max="13045" width="8.7109375" style="21" customWidth="1"/>
    <col min="13046" max="13046" width="9" style="21"/>
    <col min="13047" max="13048" width="8.7109375" style="21" customWidth="1"/>
    <col min="13049" max="13049" width="4.28515625" style="21" customWidth="1"/>
    <col min="13050" max="13050" width="7" style="21" customWidth="1"/>
    <col min="13051" max="13051" width="4.28515625" style="21" customWidth="1"/>
    <col min="13052" max="13052" width="7.7109375" style="21" customWidth="1"/>
    <col min="13053" max="13269" width="9" style="21"/>
    <col min="13270" max="13270" width="1.42578125" style="21" customWidth="1"/>
    <col min="13271" max="13271" width="31.85546875" style="21" customWidth="1"/>
    <col min="13272" max="13272" width="8.28515625" style="21" customWidth="1"/>
    <col min="13273" max="13273" width="9.7109375" style="21" customWidth="1"/>
    <col min="13274" max="13274" width="8.28515625" style="21" customWidth="1"/>
    <col min="13275" max="13275" width="6.5703125" style="21" customWidth="1"/>
    <col min="13276" max="13276" width="14" style="21" customWidth="1"/>
    <col min="13277" max="13277" width="6.7109375" style="21" customWidth="1"/>
    <col min="13278" max="13278" width="8.85546875" style="21" customWidth="1"/>
    <col min="13279" max="13279" width="7.7109375" style="21" customWidth="1"/>
    <col min="13280" max="13280" width="7.28515625" style="21" customWidth="1"/>
    <col min="13281" max="13281" width="7.7109375" style="21" customWidth="1"/>
    <col min="13282" max="13282" width="8.28515625" style="21" customWidth="1"/>
    <col min="13283" max="13284" width="6.7109375" style="21" customWidth="1"/>
    <col min="13285" max="13285" width="8.85546875" style="21" customWidth="1"/>
    <col min="13286" max="13287" width="7.5703125" style="21" customWidth="1"/>
    <col min="13288" max="13288" width="7.7109375" style="21" customWidth="1"/>
    <col min="13289" max="13290" width="8.28515625" style="21" customWidth="1"/>
    <col min="13291" max="13291" width="6.28515625" style="21" customWidth="1"/>
    <col min="13292" max="13293" width="8.7109375" style="21" customWidth="1"/>
    <col min="13294" max="13294" width="9.5703125" style="21" customWidth="1"/>
    <col min="13295" max="13295" width="8.7109375" style="21" customWidth="1"/>
    <col min="13296" max="13296" width="14.5703125" style="21" customWidth="1"/>
    <col min="13297" max="13297" width="8.7109375" style="21" customWidth="1"/>
    <col min="13298" max="13298" width="10.42578125" style="21" customWidth="1"/>
    <col min="13299" max="13301" width="8.7109375" style="21" customWidth="1"/>
    <col min="13302" max="13302" width="9" style="21"/>
    <col min="13303" max="13304" width="8.7109375" style="21" customWidth="1"/>
    <col min="13305" max="13305" width="4.28515625" style="21" customWidth="1"/>
    <col min="13306" max="13306" width="7" style="21" customWidth="1"/>
    <col min="13307" max="13307" width="4.28515625" style="21" customWidth="1"/>
    <col min="13308" max="13308" width="7.7109375" style="21" customWidth="1"/>
    <col min="13309" max="13525" width="9" style="21"/>
    <col min="13526" max="13526" width="1.42578125" style="21" customWidth="1"/>
    <col min="13527" max="13527" width="31.85546875" style="21" customWidth="1"/>
    <col min="13528" max="13528" width="8.28515625" style="21" customWidth="1"/>
    <col min="13529" max="13529" width="9.7109375" style="21" customWidth="1"/>
    <col min="13530" max="13530" width="8.28515625" style="21" customWidth="1"/>
    <col min="13531" max="13531" width="6.5703125" style="21" customWidth="1"/>
    <col min="13532" max="13532" width="14" style="21" customWidth="1"/>
    <col min="13533" max="13533" width="6.7109375" style="21" customWidth="1"/>
    <col min="13534" max="13534" width="8.85546875" style="21" customWidth="1"/>
    <col min="13535" max="13535" width="7.7109375" style="21" customWidth="1"/>
    <col min="13536" max="13536" width="7.28515625" style="21" customWidth="1"/>
    <col min="13537" max="13537" width="7.7109375" style="21" customWidth="1"/>
    <col min="13538" max="13538" width="8.28515625" style="21" customWidth="1"/>
    <col min="13539" max="13540" width="6.7109375" style="21" customWidth="1"/>
    <col min="13541" max="13541" width="8.85546875" style="21" customWidth="1"/>
    <col min="13542" max="13543" width="7.5703125" style="21" customWidth="1"/>
    <col min="13544" max="13544" width="7.7109375" style="21" customWidth="1"/>
    <col min="13545" max="13546" width="8.28515625" style="21" customWidth="1"/>
    <col min="13547" max="13547" width="6.28515625" style="21" customWidth="1"/>
    <col min="13548" max="13549" width="8.7109375" style="21" customWidth="1"/>
    <col min="13550" max="13550" width="9.5703125" style="21" customWidth="1"/>
    <col min="13551" max="13551" width="8.7109375" style="21" customWidth="1"/>
    <col min="13552" max="13552" width="14.5703125" style="21" customWidth="1"/>
    <col min="13553" max="13553" width="8.7109375" style="21" customWidth="1"/>
    <col min="13554" max="13554" width="10.42578125" style="21" customWidth="1"/>
    <col min="13555" max="13557" width="8.7109375" style="21" customWidth="1"/>
    <col min="13558" max="13558" width="9" style="21"/>
    <col min="13559" max="13560" width="8.7109375" style="21" customWidth="1"/>
    <col min="13561" max="13561" width="4.28515625" style="21" customWidth="1"/>
    <col min="13562" max="13562" width="7" style="21" customWidth="1"/>
    <col min="13563" max="13563" width="4.28515625" style="21" customWidth="1"/>
    <col min="13564" max="13564" width="7.7109375" style="21" customWidth="1"/>
    <col min="13565" max="13781" width="9" style="21"/>
    <col min="13782" max="13782" width="1.42578125" style="21" customWidth="1"/>
    <col min="13783" max="13783" width="31.85546875" style="21" customWidth="1"/>
    <col min="13784" max="13784" width="8.28515625" style="21" customWidth="1"/>
    <col min="13785" max="13785" width="9.7109375" style="21" customWidth="1"/>
    <col min="13786" max="13786" width="8.28515625" style="21" customWidth="1"/>
    <col min="13787" max="13787" width="6.5703125" style="21" customWidth="1"/>
    <col min="13788" max="13788" width="14" style="21" customWidth="1"/>
    <col min="13789" max="13789" width="6.7109375" style="21" customWidth="1"/>
    <col min="13790" max="13790" width="8.85546875" style="21" customWidth="1"/>
    <col min="13791" max="13791" width="7.7109375" style="21" customWidth="1"/>
    <col min="13792" max="13792" width="7.28515625" style="21" customWidth="1"/>
    <col min="13793" max="13793" width="7.7109375" style="21" customWidth="1"/>
    <col min="13794" max="13794" width="8.28515625" style="21" customWidth="1"/>
    <col min="13795" max="13796" width="6.7109375" style="21" customWidth="1"/>
    <col min="13797" max="13797" width="8.85546875" style="21" customWidth="1"/>
    <col min="13798" max="13799" width="7.5703125" style="21" customWidth="1"/>
    <col min="13800" max="13800" width="7.7109375" style="21" customWidth="1"/>
    <col min="13801" max="13802" width="8.28515625" style="21" customWidth="1"/>
    <col min="13803" max="13803" width="6.28515625" style="21" customWidth="1"/>
    <col min="13804" max="13805" width="8.7109375" style="21" customWidth="1"/>
    <col min="13806" max="13806" width="9.5703125" style="21" customWidth="1"/>
    <col min="13807" max="13807" width="8.7109375" style="21" customWidth="1"/>
    <col min="13808" max="13808" width="14.5703125" style="21" customWidth="1"/>
    <col min="13809" max="13809" width="8.7109375" style="21" customWidth="1"/>
    <col min="13810" max="13810" width="10.42578125" style="21" customWidth="1"/>
    <col min="13811" max="13813" width="8.7109375" style="21" customWidth="1"/>
    <col min="13814" max="13814" width="9" style="21"/>
    <col min="13815" max="13816" width="8.7109375" style="21" customWidth="1"/>
    <col min="13817" max="13817" width="4.28515625" style="21" customWidth="1"/>
    <col min="13818" max="13818" width="7" style="21" customWidth="1"/>
    <col min="13819" max="13819" width="4.28515625" style="21" customWidth="1"/>
    <col min="13820" max="13820" width="7.7109375" style="21" customWidth="1"/>
    <col min="13821" max="14037" width="9" style="21"/>
    <col min="14038" max="14038" width="1.42578125" style="21" customWidth="1"/>
    <col min="14039" max="14039" width="31.85546875" style="21" customWidth="1"/>
    <col min="14040" max="14040" width="8.28515625" style="21" customWidth="1"/>
    <col min="14041" max="14041" width="9.7109375" style="21" customWidth="1"/>
    <col min="14042" max="14042" width="8.28515625" style="21" customWidth="1"/>
    <col min="14043" max="14043" width="6.5703125" style="21" customWidth="1"/>
    <col min="14044" max="14044" width="14" style="21" customWidth="1"/>
    <col min="14045" max="14045" width="6.7109375" style="21" customWidth="1"/>
    <col min="14046" max="14046" width="8.85546875" style="21" customWidth="1"/>
    <col min="14047" max="14047" width="7.7109375" style="21" customWidth="1"/>
    <col min="14048" max="14048" width="7.28515625" style="21" customWidth="1"/>
    <col min="14049" max="14049" width="7.7109375" style="21" customWidth="1"/>
    <col min="14050" max="14050" width="8.28515625" style="21" customWidth="1"/>
    <col min="14051" max="14052" width="6.7109375" style="21" customWidth="1"/>
    <col min="14053" max="14053" width="8.85546875" style="21" customWidth="1"/>
    <col min="14054" max="14055" width="7.5703125" style="21" customWidth="1"/>
    <col min="14056" max="14056" width="7.7109375" style="21" customWidth="1"/>
    <col min="14057" max="14058" width="8.28515625" style="21" customWidth="1"/>
    <col min="14059" max="14059" width="6.28515625" style="21" customWidth="1"/>
    <col min="14060" max="14061" width="8.7109375" style="21" customWidth="1"/>
    <col min="14062" max="14062" width="9.5703125" style="21" customWidth="1"/>
    <col min="14063" max="14063" width="8.7109375" style="21" customWidth="1"/>
    <col min="14064" max="14064" width="14.5703125" style="21" customWidth="1"/>
    <col min="14065" max="14065" width="8.7109375" style="21" customWidth="1"/>
    <col min="14066" max="14066" width="10.42578125" style="21" customWidth="1"/>
    <col min="14067" max="14069" width="8.7109375" style="21" customWidth="1"/>
    <col min="14070" max="14070" width="9" style="21"/>
    <col min="14071" max="14072" width="8.7109375" style="21" customWidth="1"/>
    <col min="14073" max="14073" width="4.28515625" style="21" customWidth="1"/>
    <col min="14074" max="14074" width="7" style="21" customWidth="1"/>
    <col min="14075" max="14075" width="4.28515625" style="21" customWidth="1"/>
    <col min="14076" max="14076" width="7.7109375" style="21" customWidth="1"/>
    <col min="14077" max="14293" width="9" style="21"/>
    <col min="14294" max="14294" width="1.42578125" style="21" customWidth="1"/>
    <col min="14295" max="14295" width="31.85546875" style="21" customWidth="1"/>
    <col min="14296" max="14296" width="8.28515625" style="21" customWidth="1"/>
    <col min="14297" max="14297" width="9.7109375" style="21" customWidth="1"/>
    <col min="14298" max="14298" width="8.28515625" style="21" customWidth="1"/>
    <col min="14299" max="14299" width="6.5703125" style="21" customWidth="1"/>
    <col min="14300" max="14300" width="14" style="21" customWidth="1"/>
    <col min="14301" max="14301" width="6.7109375" style="21" customWidth="1"/>
    <col min="14302" max="14302" width="8.85546875" style="21" customWidth="1"/>
    <col min="14303" max="14303" width="7.7109375" style="21" customWidth="1"/>
    <col min="14304" max="14304" width="7.28515625" style="21" customWidth="1"/>
    <col min="14305" max="14305" width="7.7109375" style="21" customWidth="1"/>
    <col min="14306" max="14306" width="8.28515625" style="21" customWidth="1"/>
    <col min="14307" max="14308" width="6.7109375" style="21" customWidth="1"/>
    <col min="14309" max="14309" width="8.85546875" style="21" customWidth="1"/>
    <col min="14310" max="14311" width="7.5703125" style="21" customWidth="1"/>
    <col min="14312" max="14312" width="7.7109375" style="21" customWidth="1"/>
    <col min="14313" max="14314" width="8.28515625" style="21" customWidth="1"/>
    <col min="14315" max="14315" width="6.28515625" style="21" customWidth="1"/>
    <col min="14316" max="14317" width="8.7109375" style="21" customWidth="1"/>
    <col min="14318" max="14318" width="9.5703125" style="21" customWidth="1"/>
    <col min="14319" max="14319" width="8.7109375" style="21" customWidth="1"/>
    <col min="14320" max="14320" width="14.5703125" style="21" customWidth="1"/>
    <col min="14321" max="14321" width="8.7109375" style="21" customWidth="1"/>
    <col min="14322" max="14322" width="10.42578125" style="21" customWidth="1"/>
    <col min="14323" max="14325" width="8.7109375" style="21" customWidth="1"/>
    <col min="14326" max="14326" width="9" style="21"/>
    <col min="14327" max="14328" width="8.7109375" style="21" customWidth="1"/>
    <col min="14329" max="14329" width="4.28515625" style="21" customWidth="1"/>
    <col min="14330" max="14330" width="7" style="21" customWidth="1"/>
    <col min="14331" max="14331" width="4.28515625" style="21" customWidth="1"/>
    <col min="14332" max="14332" width="7.7109375" style="21" customWidth="1"/>
    <col min="14333" max="14549" width="9" style="21"/>
    <col min="14550" max="14550" width="1.42578125" style="21" customWidth="1"/>
    <col min="14551" max="14551" width="31.85546875" style="21" customWidth="1"/>
    <col min="14552" max="14552" width="8.28515625" style="21" customWidth="1"/>
    <col min="14553" max="14553" width="9.7109375" style="21" customWidth="1"/>
    <col min="14554" max="14554" width="8.28515625" style="21" customWidth="1"/>
    <col min="14555" max="14555" width="6.5703125" style="21" customWidth="1"/>
    <col min="14556" max="14556" width="14" style="21" customWidth="1"/>
    <col min="14557" max="14557" width="6.7109375" style="21" customWidth="1"/>
    <col min="14558" max="14558" width="8.85546875" style="21" customWidth="1"/>
    <col min="14559" max="14559" width="7.7109375" style="21" customWidth="1"/>
    <col min="14560" max="14560" width="7.28515625" style="21" customWidth="1"/>
    <col min="14561" max="14561" width="7.7109375" style="21" customWidth="1"/>
    <col min="14562" max="14562" width="8.28515625" style="21" customWidth="1"/>
    <col min="14563" max="14564" width="6.7109375" style="21" customWidth="1"/>
    <col min="14565" max="14565" width="8.85546875" style="21" customWidth="1"/>
    <col min="14566" max="14567" width="7.5703125" style="21" customWidth="1"/>
    <col min="14568" max="14568" width="7.7109375" style="21" customWidth="1"/>
    <col min="14569" max="14570" width="8.28515625" style="21" customWidth="1"/>
    <col min="14571" max="14571" width="6.28515625" style="21" customWidth="1"/>
    <col min="14572" max="14573" width="8.7109375" style="21" customWidth="1"/>
    <col min="14574" max="14574" width="9.5703125" style="21" customWidth="1"/>
    <col min="14575" max="14575" width="8.7109375" style="21" customWidth="1"/>
    <col min="14576" max="14576" width="14.5703125" style="21" customWidth="1"/>
    <col min="14577" max="14577" width="8.7109375" style="21" customWidth="1"/>
    <col min="14578" max="14578" width="10.42578125" style="21" customWidth="1"/>
    <col min="14579" max="14581" width="8.7109375" style="21" customWidth="1"/>
    <col min="14582" max="14582" width="9" style="21"/>
    <col min="14583" max="14584" width="8.7109375" style="21" customWidth="1"/>
    <col min="14585" max="14585" width="4.28515625" style="21" customWidth="1"/>
    <col min="14586" max="14586" width="7" style="21" customWidth="1"/>
    <col min="14587" max="14587" width="4.28515625" style="21" customWidth="1"/>
    <col min="14588" max="14588" width="7.7109375" style="21" customWidth="1"/>
    <col min="14589" max="14805" width="9" style="21"/>
    <col min="14806" max="14806" width="1.42578125" style="21" customWidth="1"/>
    <col min="14807" max="14807" width="31.85546875" style="21" customWidth="1"/>
    <col min="14808" max="14808" width="8.28515625" style="21" customWidth="1"/>
    <col min="14809" max="14809" width="9.7109375" style="21" customWidth="1"/>
    <col min="14810" max="14810" width="8.28515625" style="21" customWidth="1"/>
    <col min="14811" max="14811" width="6.5703125" style="21" customWidth="1"/>
    <col min="14812" max="14812" width="14" style="21" customWidth="1"/>
    <col min="14813" max="14813" width="6.7109375" style="21" customWidth="1"/>
    <col min="14814" max="14814" width="8.85546875" style="21" customWidth="1"/>
    <col min="14815" max="14815" width="7.7109375" style="21" customWidth="1"/>
    <col min="14816" max="14816" width="7.28515625" style="21" customWidth="1"/>
    <col min="14817" max="14817" width="7.7109375" style="21" customWidth="1"/>
    <col min="14818" max="14818" width="8.28515625" style="21" customWidth="1"/>
    <col min="14819" max="14820" width="6.7109375" style="21" customWidth="1"/>
    <col min="14821" max="14821" width="8.85546875" style="21" customWidth="1"/>
    <col min="14822" max="14823" width="7.5703125" style="21" customWidth="1"/>
    <col min="14824" max="14824" width="7.7109375" style="21" customWidth="1"/>
    <col min="14825" max="14826" width="8.28515625" style="21" customWidth="1"/>
    <col min="14827" max="14827" width="6.28515625" style="21" customWidth="1"/>
    <col min="14828" max="14829" width="8.7109375" style="21" customWidth="1"/>
    <col min="14830" max="14830" width="9.5703125" style="21" customWidth="1"/>
    <col min="14831" max="14831" width="8.7109375" style="21" customWidth="1"/>
    <col min="14832" max="14832" width="14.5703125" style="21" customWidth="1"/>
    <col min="14833" max="14833" width="8.7109375" style="21" customWidth="1"/>
    <col min="14834" max="14834" width="10.42578125" style="21" customWidth="1"/>
    <col min="14835" max="14837" width="8.7109375" style="21" customWidth="1"/>
    <col min="14838" max="14838" width="9" style="21"/>
    <col min="14839" max="14840" width="8.7109375" style="21" customWidth="1"/>
    <col min="14841" max="14841" width="4.28515625" style="21" customWidth="1"/>
    <col min="14842" max="14842" width="7" style="21" customWidth="1"/>
    <col min="14843" max="14843" width="4.28515625" style="21" customWidth="1"/>
    <col min="14844" max="14844" width="7.7109375" style="21" customWidth="1"/>
    <col min="14845" max="15061" width="9" style="21"/>
    <col min="15062" max="15062" width="1.42578125" style="21" customWidth="1"/>
    <col min="15063" max="15063" width="31.85546875" style="21" customWidth="1"/>
    <col min="15064" max="15064" width="8.28515625" style="21" customWidth="1"/>
    <col min="15065" max="15065" width="9.7109375" style="21" customWidth="1"/>
    <col min="15066" max="15066" width="8.28515625" style="21" customWidth="1"/>
    <col min="15067" max="15067" width="6.5703125" style="21" customWidth="1"/>
    <col min="15068" max="15068" width="14" style="21" customWidth="1"/>
    <col min="15069" max="15069" width="6.7109375" style="21" customWidth="1"/>
    <col min="15070" max="15070" width="8.85546875" style="21" customWidth="1"/>
    <col min="15071" max="15071" width="7.7109375" style="21" customWidth="1"/>
    <col min="15072" max="15072" width="7.28515625" style="21" customWidth="1"/>
    <col min="15073" max="15073" width="7.7109375" style="21" customWidth="1"/>
    <col min="15074" max="15074" width="8.28515625" style="21" customWidth="1"/>
    <col min="15075" max="15076" width="6.7109375" style="21" customWidth="1"/>
    <col min="15077" max="15077" width="8.85546875" style="21" customWidth="1"/>
    <col min="15078" max="15079" width="7.5703125" style="21" customWidth="1"/>
    <col min="15080" max="15080" width="7.7109375" style="21" customWidth="1"/>
    <col min="15081" max="15082" width="8.28515625" style="21" customWidth="1"/>
    <col min="15083" max="15083" width="6.28515625" style="21" customWidth="1"/>
    <col min="15084" max="15085" width="8.7109375" style="21" customWidth="1"/>
    <col min="15086" max="15086" width="9.5703125" style="21" customWidth="1"/>
    <col min="15087" max="15087" width="8.7109375" style="21" customWidth="1"/>
    <col min="15088" max="15088" width="14.5703125" style="21" customWidth="1"/>
    <col min="15089" max="15089" width="8.7109375" style="21" customWidth="1"/>
    <col min="15090" max="15090" width="10.42578125" style="21" customWidth="1"/>
    <col min="15091" max="15093" width="8.7109375" style="21" customWidth="1"/>
    <col min="15094" max="15094" width="9" style="21"/>
    <col min="15095" max="15096" width="8.7109375" style="21" customWidth="1"/>
    <col min="15097" max="15097" width="4.28515625" style="21" customWidth="1"/>
    <col min="15098" max="15098" width="7" style="21" customWidth="1"/>
    <col min="15099" max="15099" width="4.28515625" style="21" customWidth="1"/>
    <col min="15100" max="15100" width="7.7109375" style="21" customWidth="1"/>
    <col min="15101" max="15317" width="9" style="21"/>
    <col min="15318" max="15318" width="1.42578125" style="21" customWidth="1"/>
    <col min="15319" max="15319" width="31.85546875" style="21" customWidth="1"/>
    <col min="15320" max="15320" width="8.28515625" style="21" customWidth="1"/>
    <col min="15321" max="15321" width="9.7109375" style="21" customWidth="1"/>
    <col min="15322" max="15322" width="8.28515625" style="21" customWidth="1"/>
    <col min="15323" max="15323" width="6.5703125" style="21" customWidth="1"/>
    <col min="15324" max="15324" width="14" style="21" customWidth="1"/>
    <col min="15325" max="15325" width="6.7109375" style="21" customWidth="1"/>
    <col min="15326" max="15326" width="8.85546875" style="21" customWidth="1"/>
    <col min="15327" max="15327" width="7.7109375" style="21" customWidth="1"/>
    <col min="15328" max="15328" width="7.28515625" style="21" customWidth="1"/>
    <col min="15329" max="15329" width="7.7109375" style="21" customWidth="1"/>
    <col min="15330" max="15330" width="8.28515625" style="21" customWidth="1"/>
    <col min="15331" max="15332" width="6.7109375" style="21" customWidth="1"/>
    <col min="15333" max="15333" width="8.85546875" style="21" customWidth="1"/>
    <col min="15334" max="15335" width="7.5703125" style="21" customWidth="1"/>
    <col min="15336" max="15336" width="7.7109375" style="21" customWidth="1"/>
    <col min="15337" max="15338" width="8.28515625" style="21" customWidth="1"/>
    <col min="15339" max="15339" width="6.28515625" style="21" customWidth="1"/>
    <col min="15340" max="15341" width="8.7109375" style="21" customWidth="1"/>
    <col min="15342" max="15342" width="9.5703125" style="21" customWidth="1"/>
    <col min="15343" max="15343" width="8.7109375" style="21" customWidth="1"/>
    <col min="15344" max="15344" width="14.5703125" style="21" customWidth="1"/>
    <col min="15345" max="15345" width="8.7109375" style="21" customWidth="1"/>
    <col min="15346" max="15346" width="10.42578125" style="21" customWidth="1"/>
    <col min="15347" max="15349" width="8.7109375" style="21" customWidth="1"/>
    <col min="15350" max="15350" width="9" style="21"/>
    <col min="15351" max="15352" width="8.7109375" style="21" customWidth="1"/>
    <col min="15353" max="15353" width="4.28515625" style="21" customWidth="1"/>
    <col min="15354" max="15354" width="7" style="21" customWidth="1"/>
    <col min="15355" max="15355" width="4.28515625" style="21" customWidth="1"/>
    <col min="15356" max="15356" width="7.7109375" style="21" customWidth="1"/>
    <col min="15357" max="15573" width="9" style="21"/>
    <col min="15574" max="15574" width="1.42578125" style="21" customWidth="1"/>
    <col min="15575" max="15575" width="31.85546875" style="21" customWidth="1"/>
    <col min="15576" max="15576" width="8.28515625" style="21" customWidth="1"/>
    <col min="15577" max="15577" width="9.7109375" style="21" customWidth="1"/>
    <col min="15578" max="15578" width="8.28515625" style="21" customWidth="1"/>
    <col min="15579" max="15579" width="6.5703125" style="21" customWidth="1"/>
    <col min="15580" max="15580" width="14" style="21" customWidth="1"/>
    <col min="15581" max="15581" width="6.7109375" style="21" customWidth="1"/>
    <col min="15582" max="15582" width="8.85546875" style="21" customWidth="1"/>
    <col min="15583" max="15583" width="7.7109375" style="21" customWidth="1"/>
    <col min="15584" max="15584" width="7.28515625" style="21" customWidth="1"/>
    <col min="15585" max="15585" width="7.7109375" style="21" customWidth="1"/>
    <col min="15586" max="15586" width="8.28515625" style="21" customWidth="1"/>
    <col min="15587" max="15588" width="6.7109375" style="21" customWidth="1"/>
    <col min="15589" max="15589" width="8.85546875" style="21" customWidth="1"/>
    <col min="15590" max="15591" width="7.5703125" style="21" customWidth="1"/>
    <col min="15592" max="15592" width="7.7109375" style="21" customWidth="1"/>
    <col min="15593" max="15594" width="8.28515625" style="21" customWidth="1"/>
    <col min="15595" max="15595" width="6.28515625" style="21" customWidth="1"/>
    <col min="15596" max="15597" width="8.7109375" style="21" customWidth="1"/>
    <col min="15598" max="15598" width="9.5703125" style="21" customWidth="1"/>
    <col min="15599" max="15599" width="8.7109375" style="21" customWidth="1"/>
    <col min="15600" max="15600" width="14.5703125" style="21" customWidth="1"/>
    <col min="15601" max="15601" width="8.7109375" style="21" customWidth="1"/>
    <col min="15602" max="15602" width="10.42578125" style="21" customWidth="1"/>
    <col min="15603" max="15605" width="8.7109375" style="21" customWidth="1"/>
    <col min="15606" max="15606" width="9" style="21"/>
    <col min="15607" max="15608" width="8.7109375" style="21" customWidth="1"/>
    <col min="15609" max="15609" width="4.28515625" style="21" customWidth="1"/>
    <col min="15610" max="15610" width="7" style="21" customWidth="1"/>
    <col min="15611" max="15611" width="4.28515625" style="21" customWidth="1"/>
    <col min="15612" max="15612" width="7.7109375" style="21" customWidth="1"/>
    <col min="15613" max="15829" width="9" style="21"/>
    <col min="15830" max="15830" width="1.42578125" style="21" customWidth="1"/>
    <col min="15831" max="15831" width="31.85546875" style="21" customWidth="1"/>
    <col min="15832" max="15832" width="8.28515625" style="21" customWidth="1"/>
    <col min="15833" max="15833" width="9.7109375" style="21" customWidth="1"/>
    <col min="15834" max="15834" width="8.28515625" style="21" customWidth="1"/>
    <col min="15835" max="15835" width="6.5703125" style="21" customWidth="1"/>
    <col min="15836" max="15836" width="14" style="21" customWidth="1"/>
    <col min="15837" max="15837" width="6.7109375" style="21" customWidth="1"/>
    <col min="15838" max="15838" width="8.85546875" style="21" customWidth="1"/>
    <col min="15839" max="15839" width="7.7109375" style="21" customWidth="1"/>
    <col min="15840" max="15840" width="7.28515625" style="21" customWidth="1"/>
    <col min="15841" max="15841" width="7.7109375" style="21" customWidth="1"/>
    <col min="15842" max="15842" width="8.28515625" style="21" customWidth="1"/>
    <col min="15843" max="15844" width="6.7109375" style="21" customWidth="1"/>
    <col min="15845" max="15845" width="8.85546875" style="21" customWidth="1"/>
    <col min="15846" max="15847" width="7.5703125" style="21" customWidth="1"/>
    <col min="15848" max="15848" width="7.7109375" style="21" customWidth="1"/>
    <col min="15849" max="15850" width="8.28515625" style="21" customWidth="1"/>
    <col min="15851" max="15851" width="6.28515625" style="21" customWidth="1"/>
    <col min="15852" max="15853" width="8.7109375" style="21" customWidth="1"/>
    <col min="15854" max="15854" width="9.5703125" style="21" customWidth="1"/>
    <col min="15855" max="15855" width="8.7109375" style="21" customWidth="1"/>
    <col min="15856" max="15856" width="14.5703125" style="21" customWidth="1"/>
    <col min="15857" max="15857" width="8.7109375" style="21" customWidth="1"/>
    <col min="15858" max="15858" width="10.42578125" style="21" customWidth="1"/>
    <col min="15859" max="15861" width="8.7109375" style="21" customWidth="1"/>
    <col min="15862" max="15862" width="9" style="21"/>
    <col min="15863" max="15864" width="8.7109375" style="21" customWidth="1"/>
    <col min="15865" max="15865" width="4.28515625" style="21" customWidth="1"/>
    <col min="15866" max="15866" width="7" style="21" customWidth="1"/>
    <col min="15867" max="15867" width="4.28515625" style="21" customWidth="1"/>
    <col min="15868" max="15868" width="7.7109375" style="21" customWidth="1"/>
    <col min="15869" max="16085" width="9" style="21"/>
    <col min="16086" max="16086" width="1.42578125" style="21" customWidth="1"/>
    <col min="16087" max="16087" width="31.85546875" style="21" customWidth="1"/>
    <col min="16088" max="16088" width="8.28515625" style="21" customWidth="1"/>
    <col min="16089" max="16089" width="9.7109375" style="21" customWidth="1"/>
    <col min="16090" max="16090" width="8.28515625" style="21" customWidth="1"/>
    <col min="16091" max="16091" width="6.5703125" style="21" customWidth="1"/>
    <col min="16092" max="16092" width="14" style="21" customWidth="1"/>
    <col min="16093" max="16093" width="6.7109375" style="21" customWidth="1"/>
    <col min="16094" max="16094" width="8.85546875" style="21" customWidth="1"/>
    <col min="16095" max="16095" width="7.7109375" style="21" customWidth="1"/>
    <col min="16096" max="16096" width="7.28515625" style="21" customWidth="1"/>
    <col min="16097" max="16097" width="7.7109375" style="21" customWidth="1"/>
    <col min="16098" max="16098" width="8.28515625" style="21" customWidth="1"/>
    <col min="16099" max="16100" width="6.7109375" style="21" customWidth="1"/>
    <col min="16101" max="16101" width="8.85546875" style="21" customWidth="1"/>
    <col min="16102" max="16103" width="7.5703125" style="21" customWidth="1"/>
    <col min="16104" max="16104" width="7.7109375" style="21" customWidth="1"/>
    <col min="16105" max="16106" width="8.28515625" style="21" customWidth="1"/>
    <col min="16107" max="16107" width="6.28515625" style="21" customWidth="1"/>
    <col min="16108" max="16109" width="8.7109375" style="21" customWidth="1"/>
    <col min="16110" max="16110" width="9.5703125" style="21" customWidth="1"/>
    <col min="16111" max="16111" width="8.7109375" style="21" customWidth="1"/>
    <col min="16112" max="16112" width="14.5703125" style="21" customWidth="1"/>
    <col min="16113" max="16113" width="8.7109375" style="21" customWidth="1"/>
    <col min="16114" max="16114" width="10.42578125" style="21" customWidth="1"/>
    <col min="16115" max="16117" width="8.7109375" style="21" customWidth="1"/>
    <col min="16118" max="16118" width="9" style="21"/>
    <col min="16119" max="16120" width="8.7109375" style="21" customWidth="1"/>
    <col min="16121" max="16121" width="4.28515625" style="21" customWidth="1"/>
    <col min="16122" max="16122" width="7" style="21" customWidth="1"/>
    <col min="16123" max="16123" width="4.28515625" style="21" customWidth="1"/>
    <col min="16124" max="16124" width="7.7109375" style="21" customWidth="1"/>
    <col min="16125" max="16355" width="9" style="21"/>
    <col min="16356" max="16384" width="9.28515625" style="21" customWidth="1"/>
  </cols>
  <sheetData>
    <row r="1" spans="1:19" ht="14.1" customHeight="1" x14ac:dyDescent="0.2"/>
    <row r="2" spans="1:19" ht="14.1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394"/>
      <c r="L2" s="394"/>
      <c r="M2" s="708"/>
      <c r="N2" s="708"/>
      <c r="O2" s="708"/>
      <c r="P2" s="708"/>
      <c r="Q2" s="708"/>
      <c r="R2" s="708"/>
    </row>
    <row r="3" spans="1:19" ht="14.1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394"/>
      <c r="L3" s="394"/>
      <c r="M3" s="708"/>
      <c r="N3" s="708"/>
      <c r="O3" s="708"/>
      <c r="P3" s="708"/>
      <c r="Q3" s="708"/>
      <c r="R3" s="708"/>
    </row>
    <row r="4" spans="1:19" ht="14.1" customHeight="1" x14ac:dyDescent="0.2">
      <c r="C4" s="66" t="s">
        <v>47</v>
      </c>
      <c r="D4" s="709"/>
      <c r="E4" s="709"/>
      <c r="F4" s="253" t="s">
        <v>228</v>
      </c>
      <c r="G4" s="254"/>
      <c r="H4" s="204"/>
      <c r="I4" s="710">
        <f>Produksi!N4</f>
        <v>248105</v>
      </c>
      <c r="J4" s="710"/>
      <c r="L4" s="253"/>
      <c r="M4" s="624"/>
      <c r="N4" s="624"/>
      <c r="O4" s="624"/>
      <c r="P4" s="624"/>
      <c r="Q4" s="624"/>
    </row>
    <row r="5" spans="1:19" ht="14.1" customHeight="1" x14ac:dyDescent="0.2">
      <c r="A5" s="625" t="s">
        <v>48</v>
      </c>
      <c r="B5" s="625"/>
      <c r="C5" s="626"/>
      <c r="D5" s="256"/>
      <c r="E5" s="661" t="s">
        <v>365</v>
      </c>
      <c r="F5" s="661"/>
      <c r="G5" s="661"/>
      <c r="H5" s="661"/>
      <c r="I5" s="661"/>
      <c r="J5" s="661"/>
      <c r="K5" s="704" t="s">
        <v>565</v>
      </c>
      <c r="L5" s="256"/>
      <c r="M5" s="628" t="s">
        <v>46</v>
      </c>
      <c r="N5" s="628"/>
      <c r="O5" s="628"/>
      <c r="P5" s="628"/>
      <c r="Q5" s="628"/>
      <c r="R5" s="707" t="s">
        <v>366</v>
      </c>
      <c r="S5" s="623" t="s">
        <v>521</v>
      </c>
    </row>
    <row r="6" spans="1:19" ht="14.1" customHeight="1" x14ac:dyDescent="0.2">
      <c r="A6" s="626"/>
      <c r="B6" s="626"/>
      <c r="C6" s="626"/>
      <c r="D6" s="657" t="s">
        <v>238</v>
      </c>
      <c r="E6" s="649" t="s">
        <v>239</v>
      </c>
      <c r="F6" s="649" t="s">
        <v>557</v>
      </c>
      <c r="G6" s="256" t="s">
        <v>241</v>
      </c>
      <c r="H6" s="649" t="s">
        <v>242</v>
      </c>
      <c r="I6" s="653" t="s">
        <v>243</v>
      </c>
      <c r="J6" s="256" t="s">
        <v>244</v>
      </c>
      <c r="K6" s="705"/>
      <c r="L6" s="315"/>
      <c r="M6" s="634" t="s">
        <v>239</v>
      </c>
      <c r="N6" s="635" t="s">
        <v>240</v>
      </c>
      <c r="O6" s="314" t="s">
        <v>241</v>
      </c>
      <c r="P6" s="636" t="s">
        <v>242</v>
      </c>
      <c r="Q6" s="632" t="s">
        <v>448</v>
      </c>
      <c r="R6" s="707"/>
      <c r="S6" s="623"/>
    </row>
    <row r="7" spans="1:19" ht="14.1" customHeight="1" x14ac:dyDescent="0.2">
      <c r="A7" s="626"/>
      <c r="B7" s="626"/>
      <c r="C7" s="626"/>
      <c r="D7" s="657"/>
      <c r="E7" s="649"/>
      <c r="F7" s="649"/>
      <c r="G7" s="256" t="s">
        <v>250</v>
      </c>
      <c r="H7" s="649"/>
      <c r="I7" s="653"/>
      <c r="J7" s="256" t="s">
        <v>250</v>
      </c>
      <c r="K7" s="705"/>
      <c r="L7" s="315"/>
      <c r="M7" s="634"/>
      <c r="N7" s="635"/>
      <c r="O7" s="314" t="s">
        <v>250</v>
      </c>
      <c r="P7" s="636"/>
      <c r="Q7" s="632"/>
      <c r="R7" s="707"/>
      <c r="S7" s="623"/>
    </row>
    <row r="8" spans="1:19" ht="14.1" customHeight="1" x14ac:dyDescent="0.2">
      <c r="A8" s="621" t="s">
        <v>49</v>
      </c>
      <c r="B8" s="621"/>
      <c r="C8" s="621"/>
      <c r="D8" s="657"/>
      <c r="E8" s="648" t="s">
        <v>262</v>
      </c>
      <c r="F8" s="648" t="s">
        <v>263</v>
      </c>
      <c r="G8" s="652" t="s">
        <v>367</v>
      </c>
      <c r="H8" s="648" t="s">
        <v>265</v>
      </c>
      <c r="I8" s="652" t="s">
        <v>266</v>
      </c>
      <c r="J8" s="648" t="s">
        <v>267</v>
      </c>
      <c r="K8" s="705"/>
      <c r="L8" s="315"/>
      <c r="M8" s="644" t="s">
        <v>262</v>
      </c>
      <c r="N8" s="630" t="s">
        <v>263</v>
      </c>
      <c r="O8" s="630" t="s">
        <v>367</v>
      </c>
      <c r="P8" s="633" t="s">
        <v>522</v>
      </c>
      <c r="Q8" s="633" t="s">
        <v>447</v>
      </c>
      <c r="R8" s="707"/>
      <c r="S8" s="623"/>
    </row>
    <row r="9" spans="1:19" ht="14.1" customHeight="1" x14ac:dyDescent="0.2">
      <c r="A9" s="621"/>
      <c r="B9" s="621"/>
      <c r="C9" s="621"/>
      <c r="D9" s="657"/>
      <c r="E9" s="648"/>
      <c r="F9" s="648"/>
      <c r="G9" s="652"/>
      <c r="H9" s="648"/>
      <c r="I9" s="652"/>
      <c r="J9" s="648"/>
      <c r="K9" s="705"/>
      <c r="L9" s="315"/>
      <c r="M9" s="644"/>
      <c r="N9" s="630"/>
      <c r="O9" s="631"/>
      <c r="P9" s="633"/>
      <c r="Q9" s="633"/>
      <c r="R9" s="707"/>
      <c r="S9" s="623"/>
    </row>
    <row r="10" spans="1:19" ht="14.1" customHeight="1" x14ac:dyDescent="0.2">
      <c r="A10" s="621"/>
      <c r="B10" s="621"/>
      <c r="C10" s="621"/>
      <c r="D10" s="657"/>
      <c r="E10" s="648"/>
      <c r="F10" s="648"/>
      <c r="G10" s="652"/>
      <c r="H10" s="648"/>
      <c r="I10" s="652"/>
      <c r="J10" s="648"/>
      <c r="K10" s="706"/>
      <c r="L10" s="315"/>
      <c r="M10" s="644"/>
      <c r="N10" s="630"/>
      <c r="O10" s="631"/>
      <c r="P10" s="633"/>
      <c r="Q10" s="633"/>
      <c r="R10" s="707"/>
      <c r="S10" s="623"/>
    </row>
    <row r="11" spans="1:19" ht="14.1" customHeight="1" x14ac:dyDescent="0.2">
      <c r="A11" s="643">
        <v>-1</v>
      </c>
      <c r="B11" s="643"/>
      <c r="C11" s="643"/>
      <c r="D11" s="316"/>
      <c r="E11" s="316"/>
      <c r="F11" s="316"/>
      <c r="G11" s="316"/>
      <c r="H11" s="316"/>
      <c r="I11" s="316"/>
      <c r="J11" s="316"/>
      <c r="K11" s="316"/>
      <c r="L11" s="316"/>
      <c r="M11" s="268"/>
      <c r="N11" s="267"/>
      <c r="O11" s="267"/>
      <c r="P11" s="267"/>
      <c r="Q11" s="317"/>
    </row>
    <row r="12" spans="1:19" ht="14.1" customHeight="1" x14ac:dyDescent="0.2">
      <c r="A12" s="286" t="s">
        <v>396</v>
      </c>
      <c r="B12" s="286"/>
      <c r="C12" s="286"/>
      <c r="D12" s="256"/>
      <c r="E12" s="256"/>
      <c r="F12" s="256"/>
      <c r="G12" s="256"/>
      <c r="H12" s="256"/>
      <c r="I12" s="256"/>
      <c r="J12" s="256"/>
      <c r="K12" s="256"/>
      <c r="L12" s="256"/>
      <c r="M12" s="413"/>
      <c r="N12" s="414"/>
      <c r="O12" s="414"/>
      <c r="P12" s="414"/>
      <c r="Q12" s="415"/>
    </row>
    <row r="13" spans="1:19" ht="14.1" customHeight="1" x14ac:dyDescent="0.2">
      <c r="A13" s="441">
        <v>1</v>
      </c>
      <c r="B13" s="288" t="s">
        <v>390</v>
      </c>
      <c r="C13" s="288"/>
      <c r="D13" s="134">
        <f>'ESTIMASI  Ekspor Impor'!G13+'ESTIMASI  Ekspor Impor'!J13-'ESTIMASI  Ekspor Impor'!K13</f>
        <v>20943.060199717966</v>
      </c>
      <c r="E13" s="134">
        <f>'Pemakaian Dalam Negeri'!E14</f>
        <v>28.896702339520541</v>
      </c>
      <c r="F13" s="134">
        <f>'Pemakaian Dalam Negeri'!F14</f>
        <v>0</v>
      </c>
      <c r="G13" s="134">
        <f>'Pemakaian Dalam Negeri'!G14</f>
        <v>0</v>
      </c>
      <c r="H13" s="134">
        <f>Produksi!$F8*P13</f>
        <v>424.95150499294914</v>
      </c>
      <c r="I13" s="134">
        <f>Produksi!$F8*Q13</f>
        <v>112.18719731813857</v>
      </c>
      <c r="J13" s="134">
        <f>D13-E13-F13-G13-H13-I13</f>
        <v>20377.024795067358</v>
      </c>
      <c r="K13" s="134">
        <f>E13+F13+G13+H13+I13+J13</f>
        <v>20943.060199717966</v>
      </c>
      <c r="L13" s="134"/>
      <c r="M13" s="269">
        <v>1.6999999999999999E-3</v>
      </c>
      <c r="N13" s="270"/>
      <c r="O13" s="270"/>
      <c r="P13" s="270">
        <v>2.5000000000000001E-2</v>
      </c>
      <c r="Q13" s="318">
        <v>6.6E-3</v>
      </c>
    </row>
    <row r="14" spans="1:19" ht="14.1" customHeight="1" x14ac:dyDescent="0.2">
      <c r="A14" s="282">
        <v>2</v>
      </c>
      <c r="B14" s="288" t="s">
        <v>397</v>
      </c>
      <c r="C14" s="288"/>
      <c r="D14" s="134">
        <f>'ESTIMASI  Ekspor Impor'!G14+'ESTIMASI  Ekspor Impor'!J14-'ESTIMASI  Ekspor Impor'!K14</f>
        <v>2422.0611374999999</v>
      </c>
      <c r="E14" s="134">
        <f>'Pemakaian Dalam Negeri'!E15</f>
        <v>0</v>
      </c>
      <c r="F14" s="134">
        <f>R14*N14</f>
        <v>0</v>
      </c>
      <c r="G14" s="134">
        <f>O14*D14</f>
        <v>507.42180830624994</v>
      </c>
      <c r="H14" s="134">
        <f>D14*P14</f>
        <v>111.89922455249999</v>
      </c>
      <c r="I14" s="134">
        <f>'Pemakaian Dalam Negeri'!I15</f>
        <v>0</v>
      </c>
      <c r="J14" s="134">
        <f>D14-E14-F14-G14-H14-I14</f>
        <v>1802.7401046412499</v>
      </c>
      <c r="K14" s="134">
        <f>E14+F14+G14+H14+I14+J14</f>
        <v>2422.0611374999999</v>
      </c>
      <c r="L14" s="134"/>
      <c r="M14" s="271"/>
      <c r="N14" s="270">
        <v>0.02</v>
      </c>
      <c r="O14" s="270">
        <v>0.20949999999999999</v>
      </c>
      <c r="P14" s="270">
        <v>4.6199999999999998E-2</v>
      </c>
      <c r="Q14" s="318"/>
      <c r="R14" s="444">
        <f>'Pemakaian Dalam Negeri'!R15</f>
        <v>0</v>
      </c>
    </row>
    <row r="15" spans="1:19" s="326" customFormat="1" ht="14.1" customHeight="1" x14ac:dyDescent="0.2">
      <c r="A15" s="282">
        <v>3</v>
      </c>
      <c r="B15" s="288" t="s">
        <v>394</v>
      </c>
      <c r="C15" s="288"/>
      <c r="D15" s="134">
        <f>'ESTIMASI  Ekspor Impor'!G15+'ESTIMASI  Ekspor Impor'!J15-'ESTIMASI  Ekspor Impor'!K15</f>
        <v>0</v>
      </c>
      <c r="E15" s="134">
        <f>'Pemakaian Dalam Negeri'!E16</f>
        <v>0</v>
      </c>
      <c r="F15" s="134">
        <f>R15*N15</f>
        <v>0</v>
      </c>
      <c r="G15" s="134">
        <f>'Pemakaian Dalam Negeri'!G16</f>
        <v>0</v>
      </c>
      <c r="H15" s="134">
        <f>D15*P15</f>
        <v>0</v>
      </c>
      <c r="I15" s="134">
        <f>'Pemakaian Dalam Negeri'!I16</f>
        <v>0</v>
      </c>
      <c r="J15" s="134">
        <f>D15-E15-F15-G15-H15-I15</f>
        <v>0</v>
      </c>
      <c r="K15" s="134">
        <f>E15+F15+G15+H15+I15+J15</f>
        <v>0</v>
      </c>
      <c r="L15" s="134"/>
      <c r="M15" s="269"/>
      <c r="N15" s="270">
        <v>2.5000000000000001E-2</v>
      </c>
      <c r="O15" s="270"/>
      <c r="P15" s="270">
        <v>4.7E-2</v>
      </c>
      <c r="Q15" s="318"/>
      <c r="R15" s="444">
        <f>'Pemakaian Dalam Negeri'!R16</f>
        <v>0</v>
      </c>
      <c r="S15" s="326">
        <v>4</v>
      </c>
    </row>
    <row r="16" spans="1:19" s="326" customFormat="1" ht="14.1" customHeight="1" x14ac:dyDescent="0.2">
      <c r="A16" s="282">
        <v>4</v>
      </c>
      <c r="B16" s="288" t="s">
        <v>369</v>
      </c>
      <c r="C16" s="288"/>
      <c r="D16" s="134">
        <f>'ESTIMASI  Ekspor Impor'!G16+'ESTIMASI  Ekspor Impor'!J16-'ESTIMASI  Ekspor Impor'!K16</f>
        <v>0</v>
      </c>
      <c r="E16" s="134">
        <f>'Pemakaian Dalam Negeri'!E17</f>
        <v>0</v>
      </c>
      <c r="F16" s="134">
        <f>'Pemakaian Dalam Negeri'!F17</f>
        <v>0</v>
      </c>
      <c r="G16" s="134">
        <f>'Pemakaian Dalam Negeri'!G17</f>
        <v>0</v>
      </c>
      <c r="H16" s="134">
        <f>'Pemakaian Dalam Negeri'!H17</f>
        <v>0</v>
      </c>
      <c r="I16" s="134">
        <f>'Pemakaian Dalam Negeri'!I17</f>
        <v>0</v>
      </c>
      <c r="J16" s="134">
        <f>D16-E16-F16-G16-H16-I16</f>
        <v>0</v>
      </c>
      <c r="K16" s="134">
        <f>E16+F16+G16+H16+I16+J16</f>
        <v>0</v>
      </c>
      <c r="L16" s="134"/>
      <c r="M16" s="271"/>
      <c r="N16" s="270"/>
      <c r="O16" s="270"/>
      <c r="P16" s="270"/>
      <c r="Q16" s="343"/>
      <c r="R16" s="540"/>
    </row>
    <row r="17" spans="1:19" ht="14.1" customHeight="1" x14ac:dyDescent="0.2">
      <c r="A17" s="282"/>
      <c r="B17" s="288"/>
      <c r="C17" s="282"/>
      <c r="D17" s="134"/>
      <c r="E17" s="134"/>
      <c r="F17" s="134"/>
      <c r="G17" s="134"/>
      <c r="H17" s="134"/>
      <c r="I17" s="134"/>
      <c r="J17" s="134"/>
      <c r="K17" s="134"/>
      <c r="L17" s="405"/>
      <c r="M17" s="409"/>
      <c r="N17" s="410"/>
      <c r="O17" s="410"/>
      <c r="P17" s="410"/>
      <c r="Q17" s="408"/>
    </row>
    <row r="18" spans="1:19" ht="14.1" customHeight="1" x14ac:dyDescent="0.2">
      <c r="A18" s="291" t="s">
        <v>55</v>
      </c>
      <c r="B18" s="291"/>
      <c r="C18" s="282"/>
      <c r="D18" s="134"/>
      <c r="E18" s="134"/>
      <c r="F18" s="134"/>
      <c r="G18" s="134"/>
      <c r="H18" s="134"/>
      <c r="I18" s="134"/>
      <c r="J18" s="134"/>
      <c r="K18" s="134"/>
      <c r="L18" s="405"/>
      <c r="M18" s="409"/>
      <c r="N18" s="410"/>
      <c r="O18" s="410"/>
      <c r="P18" s="410"/>
      <c r="Q18" s="408"/>
    </row>
    <row r="19" spans="1:19" ht="14.1" customHeight="1" x14ac:dyDescent="0.2">
      <c r="A19" s="282">
        <v>5</v>
      </c>
      <c r="B19" s="288" t="s">
        <v>370</v>
      </c>
      <c r="C19" s="45"/>
      <c r="D19" s="134">
        <f>'ESTIMASI  Ekspor Impor'!G19+'ESTIMASI  Ekspor Impor'!J19-'ESTIMASI  Ekspor Impor'!K19</f>
        <v>0</v>
      </c>
      <c r="E19" s="134">
        <f>M19*D19</f>
        <v>0</v>
      </c>
      <c r="F19" s="134">
        <f>R19*N19</f>
        <v>0</v>
      </c>
      <c r="G19" s="134">
        <f>'Pemakaian Dalam Negeri'!G22</f>
        <v>0</v>
      </c>
      <c r="H19" s="134">
        <f>D19*P19</f>
        <v>0</v>
      </c>
      <c r="I19" s="134">
        <f>'Pemakaian Dalam Negeri'!I22</f>
        <v>0</v>
      </c>
      <c r="J19" s="134">
        <f>D19-E19-F19-G19-H19-I19</f>
        <v>0</v>
      </c>
      <c r="K19" s="134">
        <f>E19+F19+G19+H19+I19+J19</f>
        <v>0</v>
      </c>
      <c r="L19" s="134"/>
      <c r="M19" s="269">
        <v>0.02</v>
      </c>
      <c r="N19" s="270">
        <v>0.7</v>
      </c>
      <c r="O19" s="270"/>
      <c r="P19" s="272">
        <v>4.9000000000000002E-2</v>
      </c>
      <c r="Q19" s="343"/>
      <c r="R19" s="444">
        <f>'Pemakaian Dalam Negeri'!R22</f>
        <v>0</v>
      </c>
      <c r="S19" s="21">
        <v>4</v>
      </c>
    </row>
    <row r="20" spans="1:19" s="326" customFormat="1" ht="14.1" customHeight="1" x14ac:dyDescent="0.2">
      <c r="A20" s="282">
        <v>6</v>
      </c>
      <c r="B20" s="288" t="s">
        <v>371</v>
      </c>
      <c r="C20" s="45"/>
      <c r="D20" s="134">
        <f>'ESTIMASI  Ekspor Impor'!G20+'ESTIMASI  Ekspor Impor'!J20-'ESTIMASI  Ekspor Impor'!K20</f>
        <v>982.58214417734735</v>
      </c>
      <c r="E20" s="134">
        <f>'Pemakaian Dalam Negeri'!E23</f>
        <v>19.651642883546948</v>
      </c>
      <c r="F20" s="134">
        <f>'Pemakaian Dalam Negeri'!F23</f>
        <v>0</v>
      </c>
      <c r="G20" s="134">
        <f>'Pemakaian Dalam Negeri'!G23</f>
        <v>0</v>
      </c>
      <c r="H20" s="134">
        <f>'Pemakaian Dalam Negeri'!H23</f>
        <v>41.563224698701788</v>
      </c>
      <c r="I20" s="134">
        <f>'Pemakaian Dalam Negeri'!I23</f>
        <v>0</v>
      </c>
      <c r="J20" s="134">
        <f>D20-E20-F20-G20-H20-I20</f>
        <v>921.36727659509859</v>
      </c>
      <c r="K20" s="134">
        <f>E20+F20+G20+H20+I20+J20</f>
        <v>982.58214417734735</v>
      </c>
      <c r="L20" s="134"/>
      <c r="M20" s="269">
        <v>0.02</v>
      </c>
      <c r="N20" s="270"/>
      <c r="O20" s="270"/>
      <c r="P20" s="270">
        <v>4.2299999999999997E-2</v>
      </c>
      <c r="Q20" s="320"/>
      <c r="R20" s="540"/>
    </row>
    <row r="21" spans="1:19" s="326" customFormat="1" ht="14.1" customHeight="1" x14ac:dyDescent="0.2">
      <c r="A21" s="282">
        <v>7</v>
      </c>
      <c r="B21" s="288" t="s">
        <v>372</v>
      </c>
      <c r="C21" s="282"/>
      <c r="D21" s="134">
        <f>'ESTIMASI  Ekspor Impor'!G21+'ESTIMASI  Ekspor Impor'!J21-'ESTIMASI  Ekspor Impor'!K21</f>
        <v>0</v>
      </c>
      <c r="E21" s="134">
        <f>'Pemakaian Dalam Negeri'!E27</f>
        <v>0</v>
      </c>
      <c r="F21" s="134">
        <f>'Pemakaian Dalam Negeri'!F27</f>
        <v>0</v>
      </c>
      <c r="G21" s="134">
        <f>'Pemakaian Dalam Negeri'!G27</f>
        <v>0</v>
      </c>
      <c r="H21" s="134">
        <f>'Pemakaian Dalam Negeri'!H27</f>
        <v>0</v>
      </c>
      <c r="I21" s="134">
        <f>'Pemakaian Dalam Negeri'!I27</f>
        <v>0</v>
      </c>
      <c r="J21" s="134">
        <f>D21-E21-F21-G21-H21-I21</f>
        <v>0</v>
      </c>
      <c r="K21" s="134">
        <f>E21+F21+G21+H21+I21+J21</f>
        <v>0</v>
      </c>
      <c r="L21" s="134"/>
      <c r="M21" s="269"/>
      <c r="N21" s="272"/>
      <c r="O21" s="272"/>
      <c r="P21" s="270"/>
      <c r="Q21" s="318"/>
      <c r="R21" s="540"/>
    </row>
    <row r="22" spans="1:19" ht="14.1" customHeight="1" x14ac:dyDescent="0.2">
      <c r="A22" s="282">
        <v>8</v>
      </c>
      <c r="B22" s="288" t="s">
        <v>368</v>
      </c>
      <c r="C22" s="45"/>
      <c r="D22" s="134">
        <f>'ESTIMASI  Ekspor Impor'!G22+'ESTIMASI  Ekspor Impor'!J22-'ESTIMASI  Ekspor Impor'!K22</f>
        <v>0</v>
      </c>
      <c r="E22" s="134">
        <f>'Pemakaian Dalam Negeri'!E30</f>
        <v>0</v>
      </c>
      <c r="F22" s="134">
        <f>'Pemakaian Dalam Negeri'!F30</f>
        <v>0</v>
      </c>
      <c r="G22" s="134">
        <f>'Pemakaian Dalam Negeri'!G30</f>
        <v>0</v>
      </c>
      <c r="H22" s="134">
        <f>D22*P22</f>
        <v>0</v>
      </c>
      <c r="I22" s="134">
        <f>'Pemakaian Dalam Negeri'!I30</f>
        <v>0</v>
      </c>
      <c r="J22" s="134">
        <f>D22-E22-F22-G22-H22-I22</f>
        <v>0</v>
      </c>
      <c r="K22" s="134">
        <f>E22+F22+G22+H22+I22+J22</f>
        <v>0</v>
      </c>
      <c r="L22" s="134"/>
      <c r="M22" s="269"/>
      <c r="N22" s="272"/>
      <c r="O22" s="272"/>
      <c r="P22" s="272">
        <v>0.02</v>
      </c>
      <c r="Q22" s="318"/>
      <c r="S22" s="21">
        <v>4</v>
      </c>
    </row>
    <row r="23" spans="1:19" ht="14.1" customHeight="1" x14ac:dyDescent="0.2">
      <c r="A23" s="282"/>
      <c r="B23" s="288"/>
      <c r="C23" s="282"/>
      <c r="D23" s="134"/>
      <c r="E23" s="134"/>
      <c r="F23" s="134"/>
      <c r="G23" s="134"/>
      <c r="H23" s="134"/>
      <c r="I23" s="134"/>
      <c r="J23" s="134"/>
      <c r="K23" s="134"/>
      <c r="L23" s="405"/>
      <c r="M23" s="409"/>
      <c r="N23" s="410"/>
      <c r="O23" s="410"/>
      <c r="P23" s="410"/>
      <c r="Q23" s="408"/>
    </row>
    <row r="24" spans="1:19" ht="14.1" customHeight="1" x14ac:dyDescent="0.2">
      <c r="A24" s="288" t="s">
        <v>59</v>
      </c>
      <c r="B24" s="288"/>
      <c r="C24" s="282"/>
      <c r="D24" s="134"/>
      <c r="E24" s="134"/>
      <c r="F24" s="134"/>
      <c r="G24" s="134"/>
      <c r="H24" s="134"/>
      <c r="I24" s="134"/>
      <c r="J24" s="134"/>
      <c r="K24" s="134"/>
      <c r="L24" s="405"/>
      <c r="M24" s="409"/>
      <c r="N24" s="410"/>
      <c r="O24" s="410"/>
      <c r="P24" s="410"/>
      <c r="Q24" s="408"/>
    </row>
    <row r="25" spans="1:19" s="326" customFormat="1" ht="14.1" customHeight="1" x14ac:dyDescent="0.2">
      <c r="A25" s="282">
        <v>9</v>
      </c>
      <c r="B25" s="288" t="s">
        <v>384</v>
      </c>
      <c r="C25" s="45"/>
      <c r="D25" s="134">
        <f>'ESTIMASI  Ekspor Impor'!G25+'ESTIMASI  Ekspor Impor'!J25-'ESTIMASI  Ekspor Impor'!K25</f>
        <v>2909</v>
      </c>
      <c r="E25" s="134">
        <f>'Pemakaian Dalam Negeri'!E33</f>
        <v>0</v>
      </c>
      <c r="F25" s="134">
        <f>'Pemakaian Dalam Negeri'!F33</f>
        <v>0</v>
      </c>
      <c r="G25" s="134">
        <f>'Pemakaian Dalam Negeri'!G33</f>
        <v>0</v>
      </c>
      <c r="H25" s="134">
        <f>'Pemakaian Dalam Negeri'!H33</f>
        <v>119.85080000000001</v>
      </c>
      <c r="I25" s="134">
        <f>'Pemakaian Dalam Negeri'!I33</f>
        <v>0</v>
      </c>
      <c r="J25" s="134">
        <f>D25-E25-F25-G25-H25-I25</f>
        <v>2789.1491999999998</v>
      </c>
      <c r="K25" s="134">
        <f>E25+F25+G25+H25+I25+J25</f>
        <v>2909</v>
      </c>
      <c r="L25" s="134"/>
      <c r="M25" s="269"/>
      <c r="N25" s="272"/>
      <c r="O25" s="272"/>
      <c r="P25" s="270">
        <v>4.1200000000000001E-2</v>
      </c>
      <c r="Q25" s="318"/>
      <c r="R25" s="540"/>
    </row>
    <row r="26" spans="1:19" ht="14.1" customHeight="1" x14ac:dyDescent="0.2">
      <c r="A26" s="282">
        <v>10</v>
      </c>
      <c r="B26" s="288" t="s">
        <v>375</v>
      </c>
      <c r="C26" s="45"/>
      <c r="D26" s="134">
        <f>'ESTIMASI  Ekspor Impor'!G26+'ESTIMASI  Ekspor Impor'!J26-'ESTIMASI  Ekspor Impor'!K26</f>
        <v>0</v>
      </c>
      <c r="E26" s="134">
        <f>'Pemakaian Dalam Negeri'!E36</f>
        <v>0</v>
      </c>
      <c r="F26" s="134">
        <f>'Pemakaian Dalam Negeri'!F36</f>
        <v>0</v>
      </c>
      <c r="G26" s="134">
        <f>'Pemakaian Dalam Negeri'!G36</f>
        <v>0</v>
      </c>
      <c r="H26" s="134">
        <f>'Pemakaian Dalam Negeri'!H36</f>
        <v>0</v>
      </c>
      <c r="I26" s="134">
        <f>'Pemakaian Dalam Negeri'!I36</f>
        <v>0</v>
      </c>
      <c r="J26" s="134">
        <f>D26-E26-F26-G26-H26-I26</f>
        <v>0</v>
      </c>
      <c r="K26" s="134">
        <f>E26+F26+G26+H26+I26+J26</f>
        <v>0</v>
      </c>
      <c r="L26" s="134"/>
      <c r="M26" s="271"/>
      <c r="N26" s="272"/>
      <c r="O26" s="272"/>
      <c r="P26" s="272"/>
      <c r="Q26" s="318"/>
    </row>
    <row r="27" spans="1:19" ht="14.1" customHeight="1" x14ac:dyDescent="0.2">
      <c r="A27" s="282"/>
      <c r="B27" s="288"/>
      <c r="C27" s="282"/>
      <c r="D27" s="134"/>
      <c r="E27" s="134"/>
      <c r="F27" s="134"/>
      <c r="G27" s="134"/>
      <c r="H27" s="134"/>
      <c r="I27" s="134"/>
      <c r="J27" s="134"/>
      <c r="K27" s="134"/>
      <c r="L27" s="405"/>
      <c r="M27" s="409"/>
      <c r="N27" s="410"/>
      <c r="O27" s="410"/>
      <c r="P27" s="410"/>
      <c r="Q27" s="408"/>
    </row>
    <row r="28" spans="1:19" ht="14.1" customHeight="1" x14ac:dyDescent="0.2">
      <c r="A28" s="288" t="s">
        <v>2</v>
      </c>
      <c r="B28" s="288"/>
      <c r="C28" s="288"/>
      <c r="D28" s="134"/>
      <c r="E28" s="134"/>
      <c r="F28" s="134"/>
      <c r="G28" s="134"/>
      <c r="H28" s="134"/>
      <c r="I28" s="134"/>
      <c r="J28" s="134"/>
      <c r="K28" s="134"/>
      <c r="L28" s="405"/>
      <c r="M28" s="409"/>
      <c r="N28" s="407"/>
      <c r="O28" s="411"/>
      <c r="P28" s="407"/>
      <c r="Q28" s="408"/>
    </row>
    <row r="29" spans="1:19" ht="14.1" customHeight="1" x14ac:dyDescent="0.2">
      <c r="A29" s="288"/>
      <c r="B29" s="292" t="s">
        <v>3</v>
      </c>
      <c r="C29" s="292"/>
      <c r="D29" s="134"/>
      <c r="E29" s="134"/>
      <c r="F29" s="134"/>
      <c r="G29" s="134"/>
      <c r="H29" s="134"/>
      <c r="I29" s="134"/>
      <c r="J29" s="134"/>
      <c r="K29" s="134"/>
      <c r="L29" s="405"/>
      <c r="M29" s="409"/>
      <c r="N29" s="407"/>
      <c r="O29" s="411"/>
      <c r="P29" s="407"/>
      <c r="Q29" s="412"/>
    </row>
    <row r="30" spans="1:19" s="326" customFormat="1" ht="14.1" customHeight="1" x14ac:dyDescent="0.2">
      <c r="A30" s="282">
        <v>11</v>
      </c>
      <c r="B30" s="288" t="s">
        <v>429</v>
      </c>
      <c r="C30" s="45"/>
      <c r="D30" s="134">
        <f>'ESTIMASI  Ekspor Impor'!G30+'ESTIMASI  Ekspor Impor'!J30-'ESTIMASI  Ekspor Impor'!K30</f>
        <v>8.16</v>
      </c>
      <c r="E30" s="134">
        <f>M30*D30</f>
        <v>0.89760000000000006</v>
      </c>
      <c r="F30" s="134">
        <f>R30*N30</f>
        <v>0</v>
      </c>
      <c r="G30" s="134">
        <f>'Pemakaian Dalam Negeri'!G40</f>
        <v>0.73929600000000006</v>
      </c>
      <c r="H30" s="134">
        <f>'Pemakaian Dalam Negeri'!H40</f>
        <v>0.249696</v>
      </c>
      <c r="I30" s="134">
        <f>'Pemakaian Dalam Negeri'!I40</f>
        <v>0</v>
      </c>
      <c r="J30" s="134">
        <f>D30-E30-F30-G30-H30-I30</f>
        <v>6.2734079999999999</v>
      </c>
      <c r="K30" s="134">
        <f>E30+F30+G30+H30+I30+J30</f>
        <v>8.16</v>
      </c>
      <c r="L30" s="134"/>
      <c r="M30" s="271">
        <v>0.11</v>
      </c>
      <c r="N30" s="270">
        <v>9.5000000000000001E-2</v>
      </c>
      <c r="O30" s="270">
        <v>9.06E-2</v>
      </c>
      <c r="P30" s="270">
        <v>3.0599999999999999E-2</v>
      </c>
      <c r="Q30" s="318"/>
      <c r="R30" s="444">
        <f>'Pemakaian Dalam Negeri'!R40</f>
        <v>0</v>
      </c>
    </row>
    <row r="31" spans="1:19" ht="14.1" customHeight="1" x14ac:dyDescent="0.2">
      <c r="A31" s="282">
        <v>12</v>
      </c>
      <c r="B31" s="288" t="s">
        <v>373</v>
      </c>
      <c r="C31" s="45"/>
      <c r="D31" s="134">
        <f>'ESTIMASI  Ekspor Impor'!G31+'ESTIMASI  Ekspor Impor'!J31-'ESTIMASI  Ekspor Impor'!K31</f>
        <v>1859</v>
      </c>
      <c r="E31" s="134">
        <f>M31*D31</f>
        <v>260.26000000000005</v>
      </c>
      <c r="F31" s="134">
        <f>R31*N31</f>
        <v>0</v>
      </c>
      <c r="G31" s="134">
        <f>'Pemakaian Dalam Negeri'!G41</f>
        <v>0</v>
      </c>
      <c r="H31" s="134">
        <f>Produksi!F35*P31</f>
        <v>0</v>
      </c>
      <c r="I31" s="134">
        <f>'Pemakaian Dalam Negeri'!I41</f>
        <v>0</v>
      </c>
      <c r="J31" s="134">
        <f>D31-E31-F31-G31-H31-I31</f>
        <v>1598.74</v>
      </c>
      <c r="K31" s="134">
        <f>E31+F31+G31+H31+I31+J31</f>
        <v>1859</v>
      </c>
      <c r="L31" s="134"/>
      <c r="M31" s="269">
        <v>0.14000000000000001</v>
      </c>
      <c r="N31" s="270">
        <v>0.05</v>
      </c>
      <c r="O31" s="270"/>
      <c r="P31" s="270">
        <v>0.05</v>
      </c>
      <c r="Q31" s="318"/>
      <c r="R31" s="444">
        <f>'Pemakaian Dalam Negeri'!R41</f>
        <v>0</v>
      </c>
    </row>
    <row r="32" spans="1:19" ht="14.1" customHeight="1" x14ac:dyDescent="0.2">
      <c r="A32" s="282">
        <v>13</v>
      </c>
      <c r="B32" s="288" t="s">
        <v>374</v>
      </c>
      <c r="C32" s="45"/>
      <c r="D32" s="134">
        <f>'ESTIMASI  Ekspor Impor'!G32+'ESTIMASI  Ekspor Impor'!J32-'ESTIMASI  Ekspor Impor'!K32</f>
        <v>0</v>
      </c>
      <c r="E32" s="134">
        <f>M32*D32</f>
        <v>0</v>
      </c>
      <c r="F32" s="134">
        <f>R32*N32</f>
        <v>0</v>
      </c>
      <c r="G32" s="134">
        <f>'Pemakaian Dalam Negeri'!G42</f>
        <v>0</v>
      </c>
      <c r="H32" s="134">
        <f>D32*P32</f>
        <v>0</v>
      </c>
      <c r="I32" s="134">
        <f>'Pemakaian Dalam Negeri'!I42</f>
        <v>0</v>
      </c>
      <c r="J32" s="134">
        <f>D32-E32-F32-G32-H32-I32</f>
        <v>0</v>
      </c>
      <c r="K32" s="134">
        <f>E32+F32+G32+H32+I32+J32</f>
        <v>0</v>
      </c>
      <c r="L32" s="134"/>
      <c r="M32" s="271">
        <v>0.02</v>
      </c>
      <c r="N32" s="272">
        <v>0.02</v>
      </c>
      <c r="O32" s="270"/>
      <c r="P32" s="272">
        <v>2.5700000000000001E-2</v>
      </c>
      <c r="Q32" s="318"/>
      <c r="R32" s="444">
        <f>'Pemakaian Dalam Negeri'!R42</f>
        <v>0</v>
      </c>
    </row>
    <row r="33" spans="1:18" s="326" customFormat="1" ht="14.1" customHeight="1" x14ac:dyDescent="0.2">
      <c r="A33" s="282">
        <v>14</v>
      </c>
      <c r="B33" s="288" t="s">
        <v>428</v>
      </c>
      <c r="C33" s="45"/>
      <c r="D33" s="134">
        <f>'ESTIMASI  Ekspor Impor'!G33+'ESTIMASI  Ekspor Impor'!J33-'ESTIMASI  Ekspor Impor'!K33</f>
        <v>0</v>
      </c>
      <c r="E33" s="134">
        <f>'Pemakaian Dalam Negeri'!E43</f>
        <v>0</v>
      </c>
      <c r="F33" s="134">
        <f>'Pemakaian Dalam Negeri'!F44</f>
        <v>0</v>
      </c>
      <c r="G33" s="134">
        <f>'Pemakaian Dalam Negeri'!G43</f>
        <v>0</v>
      </c>
      <c r="H33" s="134">
        <f>'Pemakaian Dalam Negeri'!H43</f>
        <v>0</v>
      </c>
      <c r="I33" s="134">
        <f>'Pemakaian Dalam Negeri'!I43</f>
        <v>0</v>
      </c>
      <c r="J33" s="134">
        <f>D33-E33-F33-G33-H33-I33</f>
        <v>0</v>
      </c>
      <c r="K33" s="134">
        <f>E33+F33+G33+H33+I33+J33</f>
        <v>0</v>
      </c>
      <c r="L33" s="134"/>
      <c r="M33" s="271"/>
      <c r="N33" s="272">
        <v>5.0000000000000001E-4</v>
      </c>
      <c r="O33" s="272">
        <v>0.63290000000000002</v>
      </c>
      <c r="P33" s="272">
        <v>3.6499999999999998E-2</v>
      </c>
      <c r="Q33" s="318"/>
      <c r="R33" s="540"/>
    </row>
    <row r="34" spans="1:18" ht="14.1" customHeight="1" x14ac:dyDescent="0.2">
      <c r="A34" s="282"/>
      <c r="B34" s="288"/>
      <c r="C34" s="282"/>
      <c r="D34" s="134"/>
      <c r="E34" s="134"/>
      <c r="F34" s="134"/>
      <c r="G34" s="134"/>
      <c r="H34" s="134"/>
      <c r="I34" s="134"/>
      <c r="J34" s="134"/>
      <c r="K34" s="134"/>
      <c r="L34" s="405"/>
      <c r="M34" s="406"/>
      <c r="N34" s="407"/>
      <c r="O34" s="407"/>
      <c r="P34" s="407"/>
      <c r="Q34" s="408"/>
    </row>
    <row r="35" spans="1:18" ht="14.1" customHeight="1" x14ac:dyDescent="0.2">
      <c r="A35" s="288" t="s">
        <v>68</v>
      </c>
      <c r="B35" s="288"/>
      <c r="C35" s="282"/>
      <c r="D35" s="134"/>
      <c r="E35" s="134"/>
      <c r="F35" s="134"/>
      <c r="G35" s="134"/>
      <c r="H35" s="134"/>
      <c r="I35" s="134"/>
      <c r="J35" s="134"/>
      <c r="K35" s="134"/>
      <c r="L35" s="405"/>
      <c r="M35" s="406"/>
      <c r="N35" s="407"/>
      <c r="O35" s="407"/>
      <c r="P35" s="407"/>
      <c r="Q35" s="408"/>
    </row>
    <row r="36" spans="1:18" ht="14.1" customHeight="1" x14ac:dyDescent="0.2">
      <c r="A36" s="282">
        <v>15</v>
      </c>
      <c r="B36" s="295" t="s">
        <v>400</v>
      </c>
      <c r="C36" s="45"/>
      <c r="D36" s="134">
        <f>'ESTIMASI  Ekspor Impor'!G36+'ESTIMASI  Ekspor Impor'!J36-'ESTIMASI  Ekspor Impor'!K36</f>
        <v>285.20131178285465</v>
      </c>
      <c r="E36" s="134">
        <f>'Pemakaian Dalam Negeri'!E48</f>
        <v>0</v>
      </c>
      <c r="F36" s="134">
        <f>'Pemakaian Dalam Negeri'!F48</f>
        <v>0</v>
      </c>
      <c r="G36" s="134">
        <f>'Pemakaian Dalam Negeri'!G48</f>
        <v>0</v>
      </c>
      <c r="H36" s="134">
        <f t="shared" ref="H36:H75" si="0">D36*P36</f>
        <v>3.1657345607896867</v>
      </c>
      <c r="I36" s="134">
        <f>'Pemakaian Dalam Negeri'!I48</f>
        <v>0</v>
      </c>
      <c r="J36" s="134">
        <f t="shared" ref="J36:J75" si="1">D36-E36-F36-G36-H36-I36</f>
        <v>282.03557722206494</v>
      </c>
      <c r="K36" s="134">
        <f t="shared" ref="K36:K75" si="2">E36+F36+G36+H36+I36+J36</f>
        <v>285.20131178285465</v>
      </c>
      <c r="L36" s="134"/>
      <c r="M36" s="271"/>
      <c r="N36" s="270"/>
      <c r="O36" s="270"/>
      <c r="P36" s="270">
        <v>1.11E-2</v>
      </c>
      <c r="Q36" s="318"/>
    </row>
    <row r="37" spans="1:18" ht="14.1" customHeight="1" x14ac:dyDescent="0.2">
      <c r="A37" s="282">
        <v>16</v>
      </c>
      <c r="B37" s="295" t="s">
        <v>401</v>
      </c>
      <c r="C37" s="45"/>
      <c r="D37" s="134">
        <f>'ESTIMASI  Ekspor Impor'!G37+'ESTIMASI  Ekspor Impor'!J37-'ESTIMASI  Ekspor Impor'!K37</f>
        <v>1467.5749902376765</v>
      </c>
      <c r="E37" s="134">
        <f>'Pemakaian Dalam Negeri'!E49</f>
        <v>0</v>
      </c>
      <c r="F37" s="134">
        <f>'Pemakaian Dalam Negeri'!F49</f>
        <v>0</v>
      </c>
      <c r="G37" s="134">
        <f>'Pemakaian Dalam Negeri'!G49</f>
        <v>0</v>
      </c>
      <c r="H37" s="134">
        <f t="shared" si="0"/>
        <v>16.290082391638212</v>
      </c>
      <c r="I37" s="134">
        <f>'Pemakaian Dalam Negeri'!I49</f>
        <v>0</v>
      </c>
      <c r="J37" s="134">
        <f t="shared" si="1"/>
        <v>1451.2849078460383</v>
      </c>
      <c r="K37" s="134">
        <f t="shared" si="2"/>
        <v>1467.5749902376765</v>
      </c>
      <c r="L37" s="134"/>
      <c r="M37" s="271"/>
      <c r="N37" s="270"/>
      <c r="O37" s="270"/>
      <c r="P37" s="270">
        <v>1.11E-2</v>
      </c>
      <c r="Q37" s="318"/>
    </row>
    <row r="38" spans="1:18" ht="14.1" customHeight="1" x14ac:dyDescent="0.2">
      <c r="A38" s="282">
        <v>17</v>
      </c>
      <c r="B38" s="295" t="s">
        <v>402</v>
      </c>
      <c r="C38" s="45"/>
      <c r="D38" s="134">
        <f>'ESTIMASI  Ekspor Impor'!G38+'ESTIMASI  Ekspor Impor'!J38-'ESTIMASI  Ekspor Impor'!K38</f>
        <v>5706.2</v>
      </c>
      <c r="E38" s="134">
        <f>'Pemakaian Dalam Negeri'!E50</f>
        <v>0</v>
      </c>
      <c r="F38" s="134">
        <f>'Pemakaian Dalam Negeri'!F50</f>
        <v>0</v>
      </c>
      <c r="G38" s="134">
        <f>'Pemakaian Dalam Negeri'!G50</f>
        <v>0</v>
      </c>
      <c r="H38" s="134">
        <f t="shared" si="0"/>
        <v>63.338819999999998</v>
      </c>
      <c r="I38" s="134">
        <f>'Pemakaian Dalam Negeri'!I50</f>
        <v>0</v>
      </c>
      <c r="J38" s="134">
        <f t="shared" si="1"/>
        <v>5642.8611799999999</v>
      </c>
      <c r="K38" s="134">
        <f t="shared" si="2"/>
        <v>5706.2</v>
      </c>
      <c r="L38" s="134"/>
      <c r="M38" s="271"/>
      <c r="N38" s="270"/>
      <c r="O38" s="270"/>
      <c r="P38" s="270">
        <v>1.11E-2</v>
      </c>
      <c r="Q38" s="318"/>
    </row>
    <row r="39" spans="1:18" ht="14.1" customHeight="1" x14ac:dyDescent="0.2">
      <c r="A39" s="282">
        <v>18</v>
      </c>
      <c r="B39" s="295" t="s">
        <v>403</v>
      </c>
      <c r="C39" s="45"/>
      <c r="D39" s="134">
        <f>'ESTIMASI  Ekspor Impor'!G39+'ESTIMASI  Ekspor Impor'!J39-'ESTIMASI  Ekspor Impor'!K39</f>
        <v>4812.8999999999996</v>
      </c>
      <c r="E39" s="134">
        <f>'Pemakaian Dalam Negeri'!E51</f>
        <v>0</v>
      </c>
      <c r="F39" s="134">
        <f>'Pemakaian Dalam Negeri'!F51</f>
        <v>0</v>
      </c>
      <c r="G39" s="134">
        <f>'Pemakaian Dalam Negeri'!G51</f>
        <v>0</v>
      </c>
      <c r="H39" s="134">
        <f t="shared" si="0"/>
        <v>53.423189999999998</v>
      </c>
      <c r="I39" s="134">
        <f>'Pemakaian Dalam Negeri'!I51</f>
        <v>0</v>
      </c>
      <c r="J39" s="134">
        <f t="shared" si="1"/>
        <v>4759.4768099999992</v>
      </c>
      <c r="K39" s="134">
        <f t="shared" si="2"/>
        <v>4812.8999999999996</v>
      </c>
      <c r="L39" s="134"/>
      <c r="M39" s="271"/>
      <c r="N39" s="270"/>
      <c r="O39" s="270"/>
      <c r="P39" s="270">
        <v>1.11E-2</v>
      </c>
      <c r="Q39" s="318"/>
    </row>
    <row r="40" spans="1:18" ht="14.1" customHeight="1" x14ac:dyDescent="0.2">
      <c r="A40" s="282">
        <v>19</v>
      </c>
      <c r="B40" s="295" t="s">
        <v>404</v>
      </c>
      <c r="C40" s="45"/>
      <c r="D40" s="134">
        <f>'ESTIMASI  Ekspor Impor'!G40+'ESTIMASI  Ekspor Impor'!J40-'ESTIMASI  Ekspor Impor'!K40</f>
        <v>10.199999999999999</v>
      </c>
      <c r="E40" s="134">
        <f>'Pemakaian Dalam Negeri'!E52</f>
        <v>0</v>
      </c>
      <c r="F40" s="134">
        <f>'Pemakaian Dalam Negeri'!F52</f>
        <v>0</v>
      </c>
      <c r="G40" s="134">
        <f>'Pemakaian Dalam Negeri'!G52</f>
        <v>0</v>
      </c>
      <c r="H40" s="134">
        <f t="shared" si="0"/>
        <v>0.11322</v>
      </c>
      <c r="I40" s="134">
        <f>'Pemakaian Dalam Negeri'!I52</f>
        <v>0</v>
      </c>
      <c r="J40" s="134">
        <f t="shared" si="1"/>
        <v>10.086779999999999</v>
      </c>
      <c r="K40" s="134">
        <f t="shared" si="2"/>
        <v>10.199999999999999</v>
      </c>
      <c r="L40" s="134"/>
      <c r="M40" s="271"/>
      <c r="N40" s="270"/>
      <c r="O40" s="270"/>
      <c r="P40" s="270">
        <v>1.11E-2</v>
      </c>
      <c r="Q40" s="318"/>
    </row>
    <row r="41" spans="1:18" ht="14.1" customHeight="1" x14ac:dyDescent="0.2">
      <c r="A41" s="282">
        <v>20</v>
      </c>
      <c r="B41" s="295" t="s">
        <v>405</v>
      </c>
      <c r="C41" s="45"/>
      <c r="D41" s="134">
        <f>'ESTIMASI  Ekspor Impor'!G41+'ESTIMASI  Ekspor Impor'!J41-'ESTIMASI  Ekspor Impor'!K41</f>
        <v>8</v>
      </c>
      <c r="E41" s="134">
        <f>'Pemakaian Dalam Negeri'!E53</f>
        <v>0</v>
      </c>
      <c r="F41" s="134">
        <f>'Pemakaian Dalam Negeri'!F53</f>
        <v>0</v>
      </c>
      <c r="G41" s="134">
        <f>'Pemakaian Dalam Negeri'!G53</f>
        <v>0</v>
      </c>
      <c r="H41" s="134">
        <f t="shared" si="0"/>
        <v>8.8800000000000004E-2</v>
      </c>
      <c r="I41" s="134">
        <f>'Pemakaian Dalam Negeri'!I53</f>
        <v>0</v>
      </c>
      <c r="J41" s="134">
        <f t="shared" si="1"/>
        <v>7.9112</v>
      </c>
      <c r="K41" s="134">
        <f t="shared" si="2"/>
        <v>8</v>
      </c>
      <c r="L41" s="134"/>
      <c r="M41" s="271"/>
      <c r="N41" s="270"/>
      <c r="O41" s="270"/>
      <c r="P41" s="270">
        <v>1.11E-2</v>
      </c>
      <c r="Q41" s="318"/>
    </row>
    <row r="42" spans="1:18" ht="14.1" customHeight="1" x14ac:dyDescent="0.2">
      <c r="A42" s="282">
        <v>21</v>
      </c>
      <c r="B42" s="295" t="s">
        <v>406</v>
      </c>
      <c r="C42" s="45"/>
      <c r="D42" s="134">
        <f>'ESTIMASI  Ekspor Impor'!G42+'ESTIMASI  Ekspor Impor'!J42-'ESTIMASI  Ekspor Impor'!K42</f>
        <v>284.37000237784304</v>
      </c>
      <c r="E42" s="134">
        <f>'Pemakaian Dalam Negeri'!E54</f>
        <v>0</v>
      </c>
      <c r="F42" s="134">
        <f>'Pemakaian Dalam Negeri'!F54</f>
        <v>0</v>
      </c>
      <c r="G42" s="134">
        <f>'Pemakaian Dalam Negeri'!G54</f>
        <v>0</v>
      </c>
      <c r="H42" s="134">
        <f t="shared" si="0"/>
        <v>3.156507026394058</v>
      </c>
      <c r="I42" s="134">
        <f>'Pemakaian Dalam Negeri'!I54</f>
        <v>0</v>
      </c>
      <c r="J42" s="134">
        <f t="shared" si="1"/>
        <v>281.21349535144896</v>
      </c>
      <c r="K42" s="134">
        <f t="shared" si="2"/>
        <v>284.37000237784304</v>
      </c>
      <c r="L42" s="134"/>
      <c r="M42" s="271"/>
      <c r="N42" s="270"/>
      <c r="O42" s="270"/>
      <c r="P42" s="270">
        <v>1.11E-2</v>
      </c>
      <c r="Q42" s="318"/>
    </row>
    <row r="43" spans="1:18" ht="14.1" customHeight="1" x14ac:dyDescent="0.2">
      <c r="A43" s="282">
        <v>22</v>
      </c>
      <c r="B43" s="295" t="s">
        <v>407</v>
      </c>
      <c r="C43" s="45"/>
      <c r="D43" s="134">
        <f>'ESTIMASI  Ekspor Impor'!G43+'ESTIMASI  Ekspor Impor'!J43-'ESTIMASI  Ekspor Impor'!K43</f>
        <v>75.099999999999994</v>
      </c>
      <c r="E43" s="134">
        <f>'Pemakaian Dalam Negeri'!E55</f>
        <v>0</v>
      </c>
      <c r="F43" s="134">
        <f>'Pemakaian Dalam Negeri'!F55</f>
        <v>0</v>
      </c>
      <c r="G43" s="134">
        <f>'Pemakaian Dalam Negeri'!G55</f>
        <v>0</v>
      </c>
      <c r="H43" s="134">
        <f t="shared" si="0"/>
        <v>0.83360999999999996</v>
      </c>
      <c r="I43" s="134">
        <f>'Pemakaian Dalam Negeri'!I55</f>
        <v>0</v>
      </c>
      <c r="J43" s="134">
        <f t="shared" si="1"/>
        <v>74.266390000000001</v>
      </c>
      <c r="K43" s="134">
        <f t="shared" si="2"/>
        <v>75.099999999999994</v>
      </c>
      <c r="L43" s="134"/>
      <c r="M43" s="271"/>
      <c r="N43" s="270"/>
      <c r="O43" s="270"/>
      <c r="P43" s="270">
        <v>1.11E-2</v>
      </c>
      <c r="Q43" s="318"/>
    </row>
    <row r="44" spans="1:18" ht="14.1" customHeight="1" x14ac:dyDescent="0.2">
      <c r="A44" s="282">
        <v>23</v>
      </c>
      <c r="B44" s="295" t="s">
        <v>408</v>
      </c>
      <c r="C44" s="45"/>
      <c r="D44" s="134">
        <f>'ESTIMASI  Ekspor Impor'!G44+'ESTIMASI  Ekspor Impor'!J44-'ESTIMASI  Ekspor Impor'!K44</f>
        <v>1720.7869798366312</v>
      </c>
      <c r="E44" s="134">
        <f>'Pemakaian Dalam Negeri'!E56</f>
        <v>0</v>
      </c>
      <c r="F44" s="134">
        <f>'Pemakaian Dalam Negeri'!F56</f>
        <v>0</v>
      </c>
      <c r="G44" s="134">
        <f>'Pemakaian Dalam Negeri'!G56</f>
        <v>0</v>
      </c>
      <c r="H44" s="134">
        <f t="shared" si="0"/>
        <v>19.100735476186607</v>
      </c>
      <c r="I44" s="134">
        <f>'Pemakaian Dalam Negeri'!I56</f>
        <v>0</v>
      </c>
      <c r="J44" s="134">
        <f t="shared" si="1"/>
        <v>1701.6862443604446</v>
      </c>
      <c r="K44" s="134">
        <f t="shared" si="2"/>
        <v>1720.7869798366312</v>
      </c>
      <c r="L44" s="134"/>
      <c r="M44" s="271"/>
      <c r="N44" s="270"/>
      <c r="O44" s="270"/>
      <c r="P44" s="270">
        <v>1.11E-2</v>
      </c>
      <c r="Q44" s="318"/>
    </row>
    <row r="45" spans="1:18" ht="14.1" customHeight="1" x14ac:dyDescent="0.2">
      <c r="A45" s="282">
        <v>24</v>
      </c>
      <c r="B45" s="295" t="s">
        <v>409</v>
      </c>
      <c r="C45" s="45"/>
      <c r="D45" s="134">
        <f>'ESTIMASI  Ekspor Impor'!G45+'ESTIMASI  Ekspor Impor'!J45-'ESTIMASI  Ekspor Impor'!K45</f>
        <v>1392.3395479455239</v>
      </c>
      <c r="E45" s="134">
        <f>'Pemakaian Dalam Negeri'!E57</f>
        <v>0</v>
      </c>
      <c r="F45" s="134">
        <f>'Pemakaian Dalam Negeri'!F57</f>
        <v>0</v>
      </c>
      <c r="G45" s="134">
        <f>'Pemakaian Dalam Negeri'!G57</f>
        <v>0</v>
      </c>
      <c r="H45" s="134">
        <f t="shared" si="0"/>
        <v>15.454968982195316</v>
      </c>
      <c r="I45" s="134">
        <f>'Pemakaian Dalam Negeri'!I57</f>
        <v>0</v>
      </c>
      <c r="J45" s="134">
        <f t="shared" si="1"/>
        <v>1376.8845789633285</v>
      </c>
      <c r="K45" s="134">
        <f t="shared" si="2"/>
        <v>1392.3395479455239</v>
      </c>
      <c r="L45" s="134"/>
      <c r="M45" s="271"/>
      <c r="N45" s="270"/>
      <c r="O45" s="270"/>
      <c r="P45" s="270">
        <v>1.11E-2</v>
      </c>
      <c r="Q45" s="318"/>
    </row>
    <row r="46" spans="1:18" ht="14.1" customHeight="1" x14ac:dyDescent="0.2">
      <c r="A46" s="282">
        <v>25</v>
      </c>
      <c r="B46" s="295" t="s">
        <v>410</v>
      </c>
      <c r="C46" s="45"/>
      <c r="D46" s="134">
        <f>'ESTIMASI  Ekspor Impor'!G46+'ESTIMASI  Ekspor Impor'!J46-'ESTIMASI  Ekspor Impor'!K46</f>
        <v>374</v>
      </c>
      <c r="E46" s="134">
        <f>'Pemakaian Dalam Negeri'!E58</f>
        <v>0</v>
      </c>
      <c r="F46" s="134">
        <f>'Pemakaian Dalam Negeri'!F58</f>
        <v>0</v>
      </c>
      <c r="G46" s="134">
        <f>'Pemakaian Dalam Negeri'!G58</f>
        <v>0</v>
      </c>
      <c r="H46" s="134">
        <f t="shared" si="0"/>
        <v>4.1513999999999998</v>
      </c>
      <c r="I46" s="134">
        <f>'Pemakaian Dalam Negeri'!I58</f>
        <v>0</v>
      </c>
      <c r="J46" s="134">
        <f t="shared" si="1"/>
        <v>369.84859999999998</v>
      </c>
      <c r="K46" s="134">
        <f t="shared" si="2"/>
        <v>374</v>
      </c>
      <c r="L46" s="134"/>
      <c r="M46" s="271"/>
      <c r="N46" s="270"/>
      <c r="O46" s="270"/>
      <c r="P46" s="270">
        <v>1.11E-2</v>
      </c>
      <c r="Q46" s="318"/>
    </row>
    <row r="47" spans="1:18" ht="14.1" customHeight="1" x14ac:dyDescent="0.2">
      <c r="A47" s="282">
        <v>26</v>
      </c>
      <c r="B47" s="295" t="s">
        <v>411</v>
      </c>
      <c r="C47" s="45"/>
      <c r="D47" s="134">
        <f>'ESTIMASI  Ekspor Impor'!G47+'ESTIMASI  Ekspor Impor'!J47-'ESTIMASI  Ekspor Impor'!K47</f>
        <v>932.06330359921458</v>
      </c>
      <c r="E47" s="134">
        <f>'Pemakaian Dalam Negeri'!E59</f>
        <v>0</v>
      </c>
      <c r="F47" s="134">
        <f>'Pemakaian Dalam Negeri'!F59</f>
        <v>0</v>
      </c>
      <c r="G47" s="134">
        <f>'Pemakaian Dalam Negeri'!G59</f>
        <v>0</v>
      </c>
      <c r="H47" s="134">
        <f t="shared" si="0"/>
        <v>10.345902669951283</v>
      </c>
      <c r="I47" s="134">
        <f>'Pemakaian Dalam Negeri'!I59</f>
        <v>0</v>
      </c>
      <c r="J47" s="134">
        <f t="shared" si="1"/>
        <v>921.71740092926325</v>
      </c>
      <c r="K47" s="134">
        <f t="shared" si="2"/>
        <v>932.06330359921458</v>
      </c>
      <c r="L47" s="134"/>
      <c r="M47" s="271"/>
      <c r="N47" s="270"/>
      <c r="O47" s="270"/>
      <c r="P47" s="270">
        <v>1.11E-2</v>
      </c>
      <c r="Q47" s="318"/>
    </row>
    <row r="48" spans="1:18" ht="14.1" customHeight="1" x14ac:dyDescent="0.2">
      <c r="A48" s="282">
        <v>27</v>
      </c>
      <c r="B48" s="295" t="s">
        <v>412</v>
      </c>
      <c r="C48" s="45"/>
      <c r="D48" s="134">
        <f>'ESTIMASI  Ekspor Impor'!G48+'ESTIMASI  Ekspor Impor'!J48-'ESTIMASI  Ekspor Impor'!K48</f>
        <v>10.6</v>
      </c>
      <c r="E48" s="134">
        <f>'Pemakaian Dalam Negeri'!E60</f>
        <v>0</v>
      </c>
      <c r="F48" s="134">
        <f>'Pemakaian Dalam Negeri'!F60</f>
        <v>0</v>
      </c>
      <c r="G48" s="134">
        <f>'Pemakaian Dalam Negeri'!G60</f>
        <v>0</v>
      </c>
      <c r="H48" s="134">
        <f t="shared" si="0"/>
        <v>0.11766</v>
      </c>
      <c r="I48" s="134">
        <f>'Pemakaian Dalam Negeri'!I60</f>
        <v>0</v>
      </c>
      <c r="J48" s="134">
        <f t="shared" si="1"/>
        <v>10.482339999999999</v>
      </c>
      <c r="K48" s="134">
        <f t="shared" si="2"/>
        <v>10.6</v>
      </c>
      <c r="L48" s="134"/>
      <c r="M48" s="271"/>
      <c r="N48" s="270"/>
      <c r="O48" s="270"/>
      <c r="P48" s="270">
        <v>1.11E-2</v>
      </c>
      <c r="Q48" s="318"/>
    </row>
    <row r="49" spans="1:17" ht="14.1" customHeight="1" x14ac:dyDescent="0.2">
      <c r="A49" s="282">
        <v>28</v>
      </c>
      <c r="B49" s="295" t="s">
        <v>4</v>
      </c>
      <c r="C49" s="45"/>
      <c r="D49" s="134">
        <f>'ESTIMASI  Ekspor Impor'!G49+'ESTIMASI  Ekspor Impor'!J49-'ESTIMASI  Ekspor Impor'!K49</f>
        <v>88.4</v>
      </c>
      <c r="E49" s="134">
        <f>'Pemakaian Dalam Negeri'!E61</f>
        <v>0</v>
      </c>
      <c r="F49" s="134">
        <f>'Pemakaian Dalam Negeri'!F61</f>
        <v>0</v>
      </c>
      <c r="G49" s="134">
        <f>'Pemakaian Dalam Negeri'!G61</f>
        <v>0</v>
      </c>
      <c r="H49" s="134">
        <f t="shared" si="0"/>
        <v>0.98124000000000011</v>
      </c>
      <c r="I49" s="134">
        <f>'Pemakaian Dalam Negeri'!I61</f>
        <v>0</v>
      </c>
      <c r="J49" s="134">
        <f t="shared" si="1"/>
        <v>87.418760000000006</v>
      </c>
      <c r="K49" s="134">
        <f t="shared" si="2"/>
        <v>88.4</v>
      </c>
      <c r="L49" s="134"/>
      <c r="M49" s="271"/>
      <c r="N49" s="270"/>
      <c r="O49" s="270"/>
      <c r="P49" s="270">
        <v>1.11E-2</v>
      </c>
      <c r="Q49" s="318"/>
    </row>
    <row r="50" spans="1:17" ht="14.1" customHeight="1" x14ac:dyDescent="0.2">
      <c r="A50" s="282">
        <v>29</v>
      </c>
      <c r="B50" s="295" t="s">
        <v>413</v>
      </c>
      <c r="C50" s="45"/>
      <c r="D50" s="134">
        <f>'ESTIMASI  Ekspor Impor'!G50+'ESTIMASI  Ekspor Impor'!J50-'ESTIMASI  Ekspor Impor'!K50</f>
        <v>1752.5785386854404</v>
      </c>
      <c r="E50" s="134">
        <f>'Pemakaian Dalam Negeri'!E62</f>
        <v>0</v>
      </c>
      <c r="F50" s="134">
        <f>'Pemakaian Dalam Negeri'!F62</f>
        <v>0</v>
      </c>
      <c r="G50" s="134">
        <f>'Pemakaian Dalam Negeri'!G62</f>
        <v>0</v>
      </c>
      <c r="H50" s="134">
        <f t="shared" si="0"/>
        <v>19.45362177940839</v>
      </c>
      <c r="I50" s="134">
        <f>'Pemakaian Dalam Negeri'!I62</f>
        <v>0</v>
      </c>
      <c r="J50" s="134">
        <f t="shared" si="1"/>
        <v>1733.124916906032</v>
      </c>
      <c r="K50" s="134">
        <f t="shared" si="2"/>
        <v>1752.5785386854404</v>
      </c>
      <c r="L50" s="134"/>
      <c r="M50" s="271"/>
      <c r="N50" s="270"/>
      <c r="O50" s="270"/>
      <c r="P50" s="270">
        <v>1.11E-2</v>
      </c>
      <c r="Q50" s="318"/>
    </row>
    <row r="51" spans="1:17" ht="14.1" customHeight="1" x14ac:dyDescent="0.2">
      <c r="A51" s="282">
        <v>30</v>
      </c>
      <c r="B51" s="295" t="s">
        <v>414</v>
      </c>
      <c r="C51" s="45"/>
      <c r="D51" s="134">
        <f>'ESTIMASI  Ekspor Impor'!G51+'ESTIMASI  Ekspor Impor'!J51-'ESTIMASI  Ekspor Impor'!K51</f>
        <v>0.8</v>
      </c>
      <c r="E51" s="134">
        <f>'Pemakaian Dalam Negeri'!E63</f>
        <v>0</v>
      </c>
      <c r="F51" s="134">
        <f>'Pemakaian Dalam Negeri'!F63</f>
        <v>0</v>
      </c>
      <c r="G51" s="134">
        <f>'Pemakaian Dalam Negeri'!G63</f>
        <v>0</v>
      </c>
      <c r="H51" s="134">
        <f t="shared" si="0"/>
        <v>8.8800000000000007E-3</v>
      </c>
      <c r="I51" s="134">
        <f>'Pemakaian Dalam Negeri'!I63</f>
        <v>0</v>
      </c>
      <c r="J51" s="134">
        <f t="shared" si="1"/>
        <v>0.79112000000000005</v>
      </c>
      <c r="K51" s="134">
        <f t="shared" si="2"/>
        <v>0.8</v>
      </c>
      <c r="L51" s="134"/>
      <c r="M51" s="271"/>
      <c r="N51" s="270"/>
      <c r="O51" s="270"/>
      <c r="P51" s="270">
        <v>1.11E-2</v>
      </c>
      <c r="Q51" s="318"/>
    </row>
    <row r="52" spans="1:17" ht="14.1" customHeight="1" x14ac:dyDescent="0.2">
      <c r="A52" s="282">
        <v>31</v>
      </c>
      <c r="B52" s="295" t="s">
        <v>415</v>
      </c>
      <c r="C52" s="45"/>
      <c r="D52" s="134">
        <f>'ESTIMASI  Ekspor Impor'!G52+'ESTIMASI  Ekspor Impor'!J52-'ESTIMASI  Ekspor Impor'!K52</f>
        <v>398.5</v>
      </c>
      <c r="E52" s="134">
        <f>'Pemakaian Dalam Negeri'!E64</f>
        <v>0</v>
      </c>
      <c r="F52" s="134">
        <f>'Pemakaian Dalam Negeri'!F64</f>
        <v>0</v>
      </c>
      <c r="G52" s="134">
        <f>'Pemakaian Dalam Negeri'!G64</f>
        <v>0</v>
      </c>
      <c r="H52" s="134">
        <f t="shared" si="0"/>
        <v>4.4233500000000001</v>
      </c>
      <c r="I52" s="134">
        <f>'Pemakaian Dalam Negeri'!I64</f>
        <v>0</v>
      </c>
      <c r="J52" s="134">
        <f t="shared" si="1"/>
        <v>394.07664999999997</v>
      </c>
      <c r="K52" s="134">
        <f t="shared" si="2"/>
        <v>398.5</v>
      </c>
      <c r="L52" s="134"/>
      <c r="M52" s="271"/>
      <c r="N52" s="270"/>
      <c r="O52" s="270"/>
      <c r="P52" s="270">
        <v>1.11E-2</v>
      </c>
      <c r="Q52" s="318"/>
    </row>
    <row r="53" spans="1:17" ht="14.1" customHeight="1" x14ac:dyDescent="0.2">
      <c r="A53" s="282">
        <v>32</v>
      </c>
      <c r="B53" s="295" t="s">
        <v>416</v>
      </c>
      <c r="C53" s="45"/>
      <c r="D53" s="134">
        <f>'ESTIMASI  Ekspor Impor'!G53+'ESTIMASI  Ekspor Impor'!J53-'ESTIMASI  Ekspor Impor'!K53</f>
        <v>632.70000000000005</v>
      </c>
      <c r="E53" s="134">
        <f>'Pemakaian Dalam Negeri'!E65</f>
        <v>0</v>
      </c>
      <c r="F53" s="134">
        <f>'Pemakaian Dalam Negeri'!F65</f>
        <v>0</v>
      </c>
      <c r="G53" s="134">
        <f>'Pemakaian Dalam Negeri'!G65</f>
        <v>0</v>
      </c>
      <c r="H53" s="134">
        <f t="shared" si="0"/>
        <v>7.0229700000000008</v>
      </c>
      <c r="I53" s="134">
        <f>'Pemakaian Dalam Negeri'!I65</f>
        <v>0</v>
      </c>
      <c r="J53" s="134">
        <f t="shared" si="1"/>
        <v>625.67703000000006</v>
      </c>
      <c r="K53" s="134">
        <f t="shared" si="2"/>
        <v>632.70000000000005</v>
      </c>
      <c r="L53" s="134"/>
      <c r="M53" s="271"/>
      <c r="N53" s="270"/>
      <c r="O53" s="270"/>
      <c r="P53" s="272">
        <v>1.11E-2</v>
      </c>
      <c r="Q53" s="318"/>
    </row>
    <row r="54" spans="1:17" ht="14.1" customHeight="1" x14ac:dyDescent="0.2">
      <c r="A54" s="282">
        <v>33</v>
      </c>
      <c r="B54" s="295" t="s">
        <v>417</v>
      </c>
      <c r="C54" s="45"/>
      <c r="D54" s="134">
        <f>'ESTIMASI  Ekspor Impor'!G54+'ESTIMASI  Ekspor Impor'!J54-'ESTIMASI  Ekspor Impor'!K54</f>
        <v>0</v>
      </c>
      <c r="E54" s="134">
        <f>'Pemakaian Dalam Negeri'!E66</f>
        <v>0</v>
      </c>
      <c r="F54" s="134">
        <f>'Pemakaian Dalam Negeri'!F66</f>
        <v>0</v>
      </c>
      <c r="G54" s="134">
        <f>'Pemakaian Dalam Negeri'!G66</f>
        <v>0</v>
      </c>
      <c r="H54" s="134">
        <f t="shared" si="0"/>
        <v>0</v>
      </c>
      <c r="I54" s="134">
        <f>'Pemakaian Dalam Negeri'!I66</f>
        <v>0</v>
      </c>
      <c r="J54" s="134">
        <f t="shared" si="1"/>
        <v>0</v>
      </c>
      <c r="K54" s="134">
        <f t="shared" si="2"/>
        <v>0</v>
      </c>
      <c r="L54" s="134"/>
      <c r="M54" s="271"/>
      <c r="N54" s="270"/>
      <c r="O54" s="270"/>
      <c r="P54" s="272">
        <v>1.11E-2</v>
      </c>
      <c r="Q54" s="318"/>
    </row>
    <row r="55" spans="1:17" ht="14.1" customHeight="1" x14ac:dyDescent="0.2">
      <c r="A55" s="282">
        <v>34</v>
      </c>
      <c r="B55" s="295" t="s">
        <v>418</v>
      </c>
      <c r="C55" s="45"/>
      <c r="D55" s="134">
        <f>'ESTIMASI  Ekspor Impor'!G55+'ESTIMASI  Ekspor Impor'!J55-'ESTIMASI  Ekspor Impor'!K55</f>
        <v>6.9</v>
      </c>
      <c r="E55" s="134">
        <f>'Pemakaian Dalam Negeri'!E67</f>
        <v>0</v>
      </c>
      <c r="F55" s="134">
        <f>'Pemakaian Dalam Negeri'!F67</f>
        <v>0</v>
      </c>
      <c r="G55" s="134">
        <f>'Pemakaian Dalam Negeri'!G67</f>
        <v>0</v>
      </c>
      <c r="H55" s="134">
        <f t="shared" si="0"/>
        <v>7.6590000000000005E-2</v>
      </c>
      <c r="I55" s="134">
        <f>'Pemakaian Dalam Negeri'!I67</f>
        <v>0</v>
      </c>
      <c r="J55" s="134">
        <f t="shared" si="1"/>
        <v>6.82341</v>
      </c>
      <c r="K55" s="134">
        <f t="shared" si="2"/>
        <v>6.9</v>
      </c>
      <c r="L55" s="134"/>
      <c r="M55" s="271"/>
      <c r="N55" s="272"/>
      <c r="O55" s="272"/>
      <c r="P55" s="272">
        <v>1.11E-2</v>
      </c>
      <c r="Q55" s="318"/>
    </row>
    <row r="56" spans="1:17" ht="14.1" customHeight="1" x14ac:dyDescent="0.2">
      <c r="A56" s="282">
        <v>35</v>
      </c>
      <c r="B56" s="295" t="s">
        <v>419</v>
      </c>
      <c r="C56" s="45"/>
      <c r="D56" s="134">
        <f>'ESTIMASI  Ekspor Impor'!G56+'ESTIMASI  Ekspor Impor'!J56-'ESTIMASI  Ekspor Impor'!K56</f>
        <v>38.6</v>
      </c>
      <c r="E56" s="134">
        <f>'Pemakaian Dalam Negeri'!E68</f>
        <v>0</v>
      </c>
      <c r="F56" s="134">
        <f>'Pemakaian Dalam Negeri'!F68</f>
        <v>0</v>
      </c>
      <c r="G56" s="134">
        <f>'Pemakaian Dalam Negeri'!G68</f>
        <v>0</v>
      </c>
      <c r="H56" s="134">
        <f t="shared" si="0"/>
        <v>0.42846000000000001</v>
      </c>
      <c r="I56" s="134">
        <f>'Pemakaian Dalam Negeri'!I68</f>
        <v>0</v>
      </c>
      <c r="J56" s="134">
        <f t="shared" si="1"/>
        <v>38.17154</v>
      </c>
      <c r="K56" s="134">
        <f t="shared" si="2"/>
        <v>38.6</v>
      </c>
      <c r="L56" s="134"/>
      <c r="M56" s="271"/>
      <c r="N56" s="272"/>
      <c r="O56" s="272"/>
      <c r="P56" s="272">
        <v>1.11E-2</v>
      </c>
      <c r="Q56" s="318"/>
    </row>
    <row r="57" spans="1:17" ht="14.1" customHeight="1" x14ac:dyDescent="0.2">
      <c r="A57" s="282">
        <v>36</v>
      </c>
      <c r="B57" s="295" t="s">
        <v>420</v>
      </c>
      <c r="C57" s="45"/>
      <c r="D57" s="134">
        <f>'ESTIMASI  Ekspor Impor'!G57+'ESTIMASI  Ekspor Impor'!J57-'ESTIMASI  Ekspor Impor'!K57</f>
        <v>183.23814768044039</v>
      </c>
      <c r="E57" s="134">
        <f>'Pemakaian Dalam Negeri'!E69</f>
        <v>0</v>
      </c>
      <c r="F57" s="134">
        <f>'Pemakaian Dalam Negeri'!F69</f>
        <v>0</v>
      </c>
      <c r="G57" s="134">
        <f>'Pemakaian Dalam Negeri'!G69</f>
        <v>0</v>
      </c>
      <c r="H57" s="134">
        <f t="shared" si="0"/>
        <v>2.0339434392528886</v>
      </c>
      <c r="I57" s="134">
        <f>'Pemakaian Dalam Negeri'!I69</f>
        <v>0</v>
      </c>
      <c r="J57" s="134">
        <f t="shared" si="1"/>
        <v>181.20420424118751</v>
      </c>
      <c r="K57" s="134">
        <f t="shared" si="2"/>
        <v>183.23814768044039</v>
      </c>
      <c r="L57" s="134"/>
      <c r="M57" s="269"/>
      <c r="N57" s="272"/>
      <c r="O57" s="272"/>
      <c r="P57" s="272">
        <v>1.11E-2</v>
      </c>
      <c r="Q57" s="318"/>
    </row>
    <row r="58" spans="1:17" ht="14.1" customHeight="1" x14ac:dyDescent="0.2">
      <c r="A58" s="282">
        <v>37</v>
      </c>
      <c r="B58" s="295" t="s">
        <v>421</v>
      </c>
      <c r="C58" s="45"/>
      <c r="D58" s="134">
        <f>'ESTIMASI  Ekspor Impor'!G58+'ESTIMASI  Ekspor Impor'!J58-'ESTIMASI  Ekspor Impor'!K58</f>
        <v>87</v>
      </c>
      <c r="E58" s="134">
        <f>'Pemakaian Dalam Negeri'!E70</f>
        <v>0</v>
      </c>
      <c r="F58" s="134">
        <f>'Pemakaian Dalam Negeri'!F70</f>
        <v>0</v>
      </c>
      <c r="G58" s="134">
        <f>'Pemakaian Dalam Negeri'!G70</f>
        <v>0</v>
      </c>
      <c r="H58" s="134">
        <f t="shared" si="0"/>
        <v>0.9657</v>
      </c>
      <c r="I58" s="134">
        <f>'Pemakaian Dalam Negeri'!I70</f>
        <v>0</v>
      </c>
      <c r="J58" s="134">
        <f t="shared" si="1"/>
        <v>86.034300000000002</v>
      </c>
      <c r="K58" s="134">
        <f t="shared" si="2"/>
        <v>87</v>
      </c>
      <c r="L58" s="134"/>
      <c r="M58" s="269"/>
      <c r="N58" s="272"/>
      <c r="O58" s="272"/>
      <c r="P58" s="272">
        <v>1.11E-2</v>
      </c>
      <c r="Q58" s="318"/>
    </row>
    <row r="59" spans="1:17" ht="14.1" customHeight="1" x14ac:dyDescent="0.2">
      <c r="A59" s="282">
        <v>38</v>
      </c>
      <c r="B59" s="295" t="s">
        <v>422</v>
      </c>
      <c r="C59" s="45"/>
      <c r="D59" s="134">
        <f>'ESTIMASI  Ekspor Impor'!G59+'ESTIMASI  Ekspor Impor'!J59-'ESTIMASI  Ekspor Impor'!K59</f>
        <v>0</v>
      </c>
      <c r="E59" s="134">
        <f>'Pemakaian Dalam Negeri'!E71</f>
        <v>0</v>
      </c>
      <c r="F59" s="134">
        <f>'Pemakaian Dalam Negeri'!F71</f>
        <v>0</v>
      </c>
      <c r="G59" s="134">
        <f>'Pemakaian Dalam Negeri'!G71</f>
        <v>0</v>
      </c>
      <c r="H59" s="134">
        <f t="shared" si="0"/>
        <v>0</v>
      </c>
      <c r="I59" s="134">
        <f>'Pemakaian Dalam Negeri'!I71</f>
        <v>0</v>
      </c>
      <c r="J59" s="134">
        <f t="shared" si="1"/>
        <v>0</v>
      </c>
      <c r="K59" s="134">
        <f t="shared" si="2"/>
        <v>0</v>
      </c>
      <c r="L59" s="134"/>
      <c r="M59" s="269"/>
      <c r="N59" s="272"/>
      <c r="O59" s="272"/>
      <c r="P59" s="272">
        <v>1.11E-2</v>
      </c>
      <c r="Q59" s="318"/>
    </row>
    <row r="60" spans="1:17" ht="14.1" customHeight="1" x14ac:dyDescent="0.2">
      <c r="A60" s="282">
        <v>39</v>
      </c>
      <c r="B60" s="295" t="s">
        <v>423</v>
      </c>
      <c r="C60" s="45"/>
      <c r="D60" s="134">
        <f>'ESTIMASI  Ekspor Impor'!G60+'ESTIMASI  Ekspor Impor'!J60-'ESTIMASI  Ekspor Impor'!K60</f>
        <v>0</v>
      </c>
      <c r="E60" s="134">
        <f>'Pemakaian Dalam Negeri'!E72</f>
        <v>0</v>
      </c>
      <c r="F60" s="134">
        <f>'Pemakaian Dalam Negeri'!F72</f>
        <v>0</v>
      </c>
      <c r="G60" s="134">
        <f>'Pemakaian Dalam Negeri'!G72</f>
        <v>0</v>
      </c>
      <c r="H60" s="134">
        <f t="shared" si="0"/>
        <v>0</v>
      </c>
      <c r="I60" s="134">
        <f>'Pemakaian Dalam Negeri'!I72</f>
        <v>0</v>
      </c>
      <c r="J60" s="134">
        <f t="shared" si="1"/>
        <v>0</v>
      </c>
      <c r="K60" s="134">
        <f t="shared" si="2"/>
        <v>0</v>
      </c>
      <c r="L60" s="134"/>
      <c r="M60" s="269"/>
      <c r="N60" s="272"/>
      <c r="O60" s="272"/>
      <c r="P60" s="272">
        <v>1.11E-2</v>
      </c>
      <c r="Q60" s="318"/>
    </row>
    <row r="61" spans="1:17" ht="14.1" customHeight="1" x14ac:dyDescent="0.2">
      <c r="A61" s="282">
        <v>40</v>
      </c>
      <c r="B61" s="295" t="s">
        <v>5</v>
      </c>
      <c r="C61" s="45"/>
      <c r="D61" s="134">
        <f>'ESTIMASI  Ekspor Impor'!G61+'ESTIMASI  Ekspor Impor'!J61-'ESTIMASI  Ekspor Impor'!K61</f>
        <v>7</v>
      </c>
      <c r="E61" s="134">
        <f>'Pemakaian Dalam Negeri'!E73</f>
        <v>0</v>
      </c>
      <c r="F61" s="134">
        <f>'Pemakaian Dalam Negeri'!F73</f>
        <v>0</v>
      </c>
      <c r="G61" s="134">
        <f>'Pemakaian Dalam Negeri'!G73</f>
        <v>0</v>
      </c>
      <c r="H61" s="134">
        <f t="shared" si="0"/>
        <v>7.7700000000000005E-2</v>
      </c>
      <c r="I61" s="134">
        <f>'Pemakaian Dalam Negeri'!I73</f>
        <v>0</v>
      </c>
      <c r="J61" s="134">
        <f t="shared" si="1"/>
        <v>6.9222999999999999</v>
      </c>
      <c r="K61" s="134">
        <f t="shared" si="2"/>
        <v>7</v>
      </c>
      <c r="L61" s="134"/>
      <c r="M61" s="269"/>
      <c r="N61" s="272"/>
      <c r="O61" s="272"/>
      <c r="P61" s="272">
        <v>1.11E-2</v>
      </c>
      <c r="Q61" s="318"/>
    </row>
    <row r="62" spans="1:17" ht="14.1" customHeight="1" x14ac:dyDescent="0.2">
      <c r="A62" s="282">
        <v>41</v>
      </c>
      <c r="B62" s="295" t="s">
        <v>6</v>
      </c>
      <c r="C62" s="45"/>
      <c r="D62" s="134">
        <f>'ESTIMASI  Ekspor Impor'!G62+'ESTIMASI  Ekspor Impor'!J62-'ESTIMASI  Ekspor Impor'!K62</f>
        <v>10</v>
      </c>
      <c r="E62" s="134">
        <f>'Pemakaian Dalam Negeri'!E74</f>
        <v>0</v>
      </c>
      <c r="F62" s="134">
        <f>'Pemakaian Dalam Negeri'!F74</f>
        <v>0</v>
      </c>
      <c r="G62" s="134">
        <f>'Pemakaian Dalam Negeri'!G74</f>
        <v>0</v>
      </c>
      <c r="H62" s="134">
        <f t="shared" si="0"/>
        <v>0.111</v>
      </c>
      <c r="I62" s="134">
        <f>'Pemakaian Dalam Negeri'!I74</f>
        <v>0</v>
      </c>
      <c r="J62" s="134">
        <f t="shared" si="1"/>
        <v>9.8889999999999993</v>
      </c>
      <c r="K62" s="134">
        <f t="shared" si="2"/>
        <v>10</v>
      </c>
      <c r="L62" s="134"/>
      <c r="M62" s="269"/>
      <c r="N62" s="272"/>
      <c r="O62" s="272"/>
      <c r="P62" s="272">
        <v>1.11E-2</v>
      </c>
      <c r="Q62" s="318"/>
    </row>
    <row r="63" spans="1:17" ht="14.1" customHeight="1" x14ac:dyDescent="0.2">
      <c r="A63" s="282">
        <v>42</v>
      </c>
      <c r="B63" s="295" t="s">
        <v>7</v>
      </c>
      <c r="C63" s="45"/>
      <c r="D63" s="134">
        <f>'ESTIMASI  Ekspor Impor'!G63+'ESTIMASI  Ekspor Impor'!J63-'ESTIMASI  Ekspor Impor'!K63</f>
        <v>0</v>
      </c>
      <c r="E63" s="134">
        <f>'Pemakaian Dalam Negeri'!E75</f>
        <v>0</v>
      </c>
      <c r="F63" s="134">
        <f>'Pemakaian Dalam Negeri'!F75</f>
        <v>0</v>
      </c>
      <c r="G63" s="134">
        <f>'Pemakaian Dalam Negeri'!G75</f>
        <v>0</v>
      </c>
      <c r="H63" s="134">
        <f t="shared" si="0"/>
        <v>0</v>
      </c>
      <c r="I63" s="134">
        <f>'Pemakaian Dalam Negeri'!I75</f>
        <v>0</v>
      </c>
      <c r="J63" s="134">
        <f t="shared" si="1"/>
        <v>0</v>
      </c>
      <c r="K63" s="134">
        <f t="shared" si="2"/>
        <v>0</v>
      </c>
      <c r="L63" s="134"/>
      <c r="M63" s="269"/>
      <c r="N63" s="272"/>
      <c r="O63" s="272"/>
      <c r="P63" s="272">
        <v>1.11E-2</v>
      </c>
      <c r="Q63" s="318"/>
    </row>
    <row r="64" spans="1:17" ht="14.1" customHeight="1" x14ac:dyDescent="0.2">
      <c r="A64" s="282">
        <v>43</v>
      </c>
      <c r="B64" s="295" t="s">
        <v>424</v>
      </c>
      <c r="C64" s="45"/>
      <c r="D64" s="134">
        <f>'ESTIMASI  Ekspor Impor'!G64+'ESTIMASI  Ekspor Impor'!J64-'ESTIMASI  Ekspor Impor'!K64</f>
        <v>0</v>
      </c>
      <c r="E64" s="134">
        <f>'Pemakaian Dalam Negeri'!E76</f>
        <v>0</v>
      </c>
      <c r="F64" s="134">
        <f>'Pemakaian Dalam Negeri'!F76</f>
        <v>0</v>
      </c>
      <c r="G64" s="134">
        <f>'Pemakaian Dalam Negeri'!G76</f>
        <v>0</v>
      </c>
      <c r="H64" s="134">
        <f t="shared" si="0"/>
        <v>0</v>
      </c>
      <c r="I64" s="134">
        <f>'Pemakaian Dalam Negeri'!I76</f>
        <v>0</v>
      </c>
      <c r="J64" s="134">
        <f t="shared" si="1"/>
        <v>0</v>
      </c>
      <c r="K64" s="134">
        <f t="shared" si="2"/>
        <v>0</v>
      </c>
      <c r="L64" s="134"/>
      <c r="M64" s="269"/>
      <c r="N64" s="272"/>
      <c r="O64" s="272"/>
      <c r="P64" s="272">
        <v>1.11E-2</v>
      </c>
      <c r="Q64" s="318"/>
    </row>
    <row r="65" spans="1:19" ht="14.1" customHeight="1" x14ac:dyDescent="0.2">
      <c r="A65" s="282">
        <v>44</v>
      </c>
      <c r="B65" s="395" t="s">
        <v>8</v>
      </c>
      <c r="C65" s="45"/>
      <c r="D65" s="134">
        <f>'ESTIMASI  Ekspor Impor'!G65+'ESTIMASI  Ekspor Impor'!J65-'ESTIMASI  Ekspor Impor'!K65</f>
        <v>50</v>
      </c>
      <c r="E65" s="134">
        <f>'Pemakaian Dalam Negeri'!E77</f>
        <v>0</v>
      </c>
      <c r="F65" s="134">
        <f>'Pemakaian Dalam Negeri'!F77</f>
        <v>0</v>
      </c>
      <c r="G65" s="134">
        <f>'Pemakaian Dalam Negeri'!G77</f>
        <v>0</v>
      </c>
      <c r="H65" s="134">
        <f t="shared" si="0"/>
        <v>0.55500000000000005</v>
      </c>
      <c r="I65" s="134">
        <f>'Pemakaian Dalam Negeri'!I77</f>
        <v>0</v>
      </c>
      <c r="J65" s="134">
        <f t="shared" si="1"/>
        <v>49.445</v>
      </c>
      <c r="K65" s="134">
        <f t="shared" si="2"/>
        <v>50</v>
      </c>
      <c r="L65" s="134"/>
      <c r="M65" s="269"/>
      <c r="N65" s="272"/>
      <c r="O65" s="272"/>
      <c r="P65" s="272">
        <v>1.11E-2</v>
      </c>
      <c r="Q65" s="318"/>
    </row>
    <row r="66" spans="1:19" ht="14.1" customHeight="1" x14ac:dyDescent="0.2">
      <c r="A66" s="282">
        <v>45</v>
      </c>
      <c r="B66" s="295" t="s">
        <v>9</v>
      </c>
      <c r="C66" s="45"/>
      <c r="D66" s="134">
        <f>'ESTIMASI  Ekspor Impor'!G66+'ESTIMASI  Ekspor Impor'!J66-'ESTIMASI  Ekspor Impor'!K66</f>
        <v>0</v>
      </c>
      <c r="E66" s="134">
        <f>'Pemakaian Dalam Negeri'!E78</f>
        <v>0</v>
      </c>
      <c r="F66" s="134">
        <f>'Pemakaian Dalam Negeri'!F78</f>
        <v>0</v>
      </c>
      <c r="G66" s="134">
        <f>'Pemakaian Dalam Negeri'!G78</f>
        <v>0</v>
      </c>
      <c r="H66" s="134">
        <f t="shared" si="0"/>
        <v>0</v>
      </c>
      <c r="I66" s="134">
        <f>'Pemakaian Dalam Negeri'!I78</f>
        <v>0</v>
      </c>
      <c r="J66" s="134">
        <f t="shared" si="1"/>
        <v>0</v>
      </c>
      <c r="K66" s="134">
        <f t="shared" si="2"/>
        <v>0</v>
      </c>
      <c r="L66" s="134"/>
      <c r="M66" s="269"/>
      <c r="N66" s="272"/>
      <c r="O66" s="272"/>
      <c r="P66" s="272">
        <v>1.11E-2</v>
      </c>
      <c r="Q66" s="318"/>
    </row>
    <row r="67" spans="1:19" ht="14.1" customHeight="1" x14ac:dyDescent="0.2">
      <c r="A67" s="282">
        <v>46</v>
      </c>
      <c r="B67" s="295" t="s">
        <v>10</v>
      </c>
      <c r="C67" s="45"/>
      <c r="D67" s="134">
        <f>'ESTIMASI  Ekspor Impor'!G67+'ESTIMASI  Ekspor Impor'!J67-'ESTIMASI  Ekspor Impor'!K67</f>
        <v>0</v>
      </c>
      <c r="E67" s="134">
        <f>'Pemakaian Dalam Negeri'!E79</f>
        <v>0</v>
      </c>
      <c r="F67" s="134">
        <f>'Pemakaian Dalam Negeri'!F79</f>
        <v>0</v>
      </c>
      <c r="G67" s="134">
        <f>'Pemakaian Dalam Negeri'!G79</f>
        <v>0</v>
      </c>
      <c r="H67" s="134">
        <f t="shared" si="0"/>
        <v>0</v>
      </c>
      <c r="I67" s="134">
        <f>'Pemakaian Dalam Negeri'!I79</f>
        <v>0</v>
      </c>
      <c r="J67" s="134">
        <f t="shared" si="1"/>
        <v>0</v>
      </c>
      <c r="K67" s="134">
        <f t="shared" si="2"/>
        <v>0</v>
      </c>
      <c r="L67" s="134"/>
      <c r="M67" s="269"/>
      <c r="N67" s="272"/>
      <c r="O67" s="272"/>
      <c r="P67" s="272">
        <v>1.11E-2</v>
      </c>
      <c r="Q67" s="318"/>
    </row>
    <row r="68" spans="1:19" s="52" customFormat="1" ht="14.1" customHeight="1" x14ac:dyDescent="0.2">
      <c r="A68" s="282">
        <v>47</v>
      </c>
      <c r="B68" s="295" t="s">
        <v>11</v>
      </c>
      <c r="C68" s="45"/>
      <c r="D68" s="134">
        <f>'ESTIMASI  Ekspor Impor'!G68+'ESTIMASI  Ekspor Impor'!J68-'ESTIMASI  Ekspor Impor'!K68</f>
        <v>0</v>
      </c>
      <c r="E68" s="134">
        <f>'Pemakaian Dalam Negeri'!E80</f>
        <v>0</v>
      </c>
      <c r="F68" s="134">
        <f>'Pemakaian Dalam Negeri'!F80</f>
        <v>0</v>
      </c>
      <c r="G68" s="134">
        <f>'Pemakaian Dalam Negeri'!G80</f>
        <v>0</v>
      </c>
      <c r="H68" s="134">
        <f t="shared" si="0"/>
        <v>0</v>
      </c>
      <c r="I68" s="134">
        <f>'Pemakaian Dalam Negeri'!I80</f>
        <v>0</v>
      </c>
      <c r="J68" s="134">
        <f t="shared" si="1"/>
        <v>0</v>
      </c>
      <c r="K68" s="134">
        <f t="shared" si="2"/>
        <v>0</v>
      </c>
      <c r="L68" s="134"/>
      <c r="M68" s="269"/>
      <c r="N68" s="273"/>
      <c r="O68" s="273"/>
      <c r="P68" s="273">
        <v>1.11E-2</v>
      </c>
      <c r="Q68" s="318"/>
      <c r="R68" s="540"/>
    </row>
    <row r="69" spans="1:19" s="52" customFormat="1" ht="14.1" customHeight="1" x14ac:dyDescent="0.2">
      <c r="A69" s="282">
        <v>48</v>
      </c>
      <c r="B69" s="295" t="s">
        <v>12</v>
      </c>
      <c r="C69" s="45"/>
      <c r="D69" s="134">
        <f>'ESTIMASI  Ekspor Impor'!G69+'ESTIMASI  Ekspor Impor'!J69-'ESTIMASI  Ekspor Impor'!K69</f>
        <v>0</v>
      </c>
      <c r="E69" s="134">
        <f>'Pemakaian Dalam Negeri'!E81</f>
        <v>0</v>
      </c>
      <c r="F69" s="134">
        <f>'Pemakaian Dalam Negeri'!F81</f>
        <v>0</v>
      </c>
      <c r="G69" s="134">
        <f>'Pemakaian Dalam Negeri'!G81</f>
        <v>0</v>
      </c>
      <c r="H69" s="134">
        <f t="shared" si="0"/>
        <v>0</v>
      </c>
      <c r="I69" s="134">
        <f>'Pemakaian Dalam Negeri'!I81</f>
        <v>0</v>
      </c>
      <c r="J69" s="134">
        <f t="shared" si="1"/>
        <v>0</v>
      </c>
      <c r="K69" s="134">
        <f t="shared" si="2"/>
        <v>0</v>
      </c>
      <c r="L69" s="134"/>
      <c r="M69" s="269"/>
      <c r="N69" s="273"/>
      <c r="O69" s="273"/>
      <c r="P69" s="273">
        <v>1.11E-2</v>
      </c>
      <c r="Q69" s="318"/>
      <c r="R69" s="540"/>
    </row>
    <row r="70" spans="1:19" ht="14.1" customHeight="1" x14ac:dyDescent="0.2">
      <c r="A70" s="282">
        <v>49</v>
      </c>
      <c r="B70" s="295" t="s">
        <v>13</v>
      </c>
      <c r="C70" s="45"/>
      <c r="D70" s="134">
        <f>'ESTIMASI  Ekspor Impor'!G70+'ESTIMASI  Ekspor Impor'!J70-'ESTIMASI  Ekspor Impor'!K70</f>
        <v>126</v>
      </c>
      <c r="E70" s="134">
        <f>'Pemakaian Dalam Negeri'!E82</f>
        <v>0</v>
      </c>
      <c r="F70" s="134">
        <f>'Pemakaian Dalam Negeri'!F82</f>
        <v>0</v>
      </c>
      <c r="G70" s="134">
        <f>'Pemakaian Dalam Negeri'!G82</f>
        <v>0</v>
      </c>
      <c r="H70" s="134">
        <f t="shared" si="0"/>
        <v>1.3986000000000001</v>
      </c>
      <c r="I70" s="134">
        <f>'Pemakaian Dalam Negeri'!I82</f>
        <v>0</v>
      </c>
      <c r="J70" s="134">
        <f t="shared" si="1"/>
        <v>124.6014</v>
      </c>
      <c r="K70" s="134">
        <f t="shared" si="2"/>
        <v>126</v>
      </c>
      <c r="L70" s="134"/>
      <c r="M70" s="269"/>
      <c r="N70" s="272"/>
      <c r="O70" s="272"/>
      <c r="P70" s="272">
        <v>1.11E-2</v>
      </c>
      <c r="Q70" s="318"/>
    </row>
    <row r="71" spans="1:19" ht="14.1" customHeight="1" x14ac:dyDescent="0.2">
      <c r="A71" s="282">
        <v>50</v>
      </c>
      <c r="B71" s="295" t="s">
        <v>14</v>
      </c>
      <c r="C71" s="45"/>
      <c r="D71" s="134">
        <f>'ESTIMASI  Ekspor Impor'!G71+'ESTIMASI  Ekspor Impor'!J71-'ESTIMASI  Ekspor Impor'!K71</f>
        <v>0</v>
      </c>
      <c r="E71" s="134">
        <f>'Pemakaian Dalam Negeri'!E83</f>
        <v>0</v>
      </c>
      <c r="F71" s="134">
        <f>'Pemakaian Dalam Negeri'!F83</f>
        <v>0</v>
      </c>
      <c r="G71" s="134">
        <f>'Pemakaian Dalam Negeri'!G83</f>
        <v>0</v>
      </c>
      <c r="H71" s="134">
        <f t="shared" si="0"/>
        <v>0</v>
      </c>
      <c r="I71" s="134">
        <f>'Pemakaian Dalam Negeri'!I83</f>
        <v>0</v>
      </c>
      <c r="J71" s="134">
        <f t="shared" si="1"/>
        <v>0</v>
      </c>
      <c r="K71" s="134">
        <f t="shared" si="2"/>
        <v>0</v>
      </c>
      <c r="L71" s="134"/>
      <c r="M71" s="269"/>
      <c r="N71" s="272"/>
      <c r="O71" s="272"/>
      <c r="P71" s="272">
        <v>1.11E-2</v>
      </c>
      <c r="Q71" s="318"/>
    </row>
    <row r="72" spans="1:19" ht="14.1" customHeight="1" x14ac:dyDescent="0.2">
      <c r="A72" s="282">
        <v>51</v>
      </c>
      <c r="B72" s="295" t="s">
        <v>15</v>
      </c>
      <c r="C72" s="45"/>
      <c r="D72" s="134">
        <f>'ESTIMASI  Ekspor Impor'!G72+'ESTIMASI  Ekspor Impor'!J72-'ESTIMASI  Ekspor Impor'!K72</f>
        <v>79</v>
      </c>
      <c r="E72" s="134">
        <f>'Pemakaian Dalam Negeri'!E84</f>
        <v>0</v>
      </c>
      <c r="F72" s="134">
        <f>'Pemakaian Dalam Negeri'!F84</f>
        <v>0</v>
      </c>
      <c r="G72" s="134">
        <f>'Pemakaian Dalam Negeri'!G84</f>
        <v>0</v>
      </c>
      <c r="H72" s="134">
        <f t="shared" si="0"/>
        <v>0.87690000000000001</v>
      </c>
      <c r="I72" s="134">
        <f>'Pemakaian Dalam Negeri'!I84</f>
        <v>0</v>
      </c>
      <c r="J72" s="134">
        <f t="shared" si="1"/>
        <v>78.123099999999994</v>
      </c>
      <c r="K72" s="134">
        <f t="shared" si="2"/>
        <v>79</v>
      </c>
      <c r="L72" s="134"/>
      <c r="M72" s="269"/>
      <c r="N72" s="272"/>
      <c r="O72" s="272"/>
      <c r="P72" s="270">
        <v>1.11E-2</v>
      </c>
      <c r="Q72" s="318"/>
    </row>
    <row r="73" spans="1:19" ht="14.1" customHeight="1" x14ac:dyDescent="0.2">
      <c r="A73" s="282">
        <v>52</v>
      </c>
      <c r="B73" s="311" t="s">
        <v>16</v>
      </c>
      <c r="C73" s="45"/>
      <c r="D73" s="134">
        <f>'ESTIMASI  Ekspor Impor'!G73+'ESTIMASI  Ekspor Impor'!J73-'ESTIMASI  Ekspor Impor'!K73</f>
        <v>125</v>
      </c>
      <c r="E73" s="134">
        <f>'Pemakaian Dalam Negeri'!E85</f>
        <v>0</v>
      </c>
      <c r="F73" s="134">
        <f>'Pemakaian Dalam Negeri'!F85</f>
        <v>0</v>
      </c>
      <c r="G73" s="134">
        <f>'Pemakaian Dalam Negeri'!G85</f>
        <v>0</v>
      </c>
      <c r="H73" s="134">
        <f t="shared" si="0"/>
        <v>1.3875</v>
      </c>
      <c r="I73" s="134">
        <f>'Pemakaian Dalam Negeri'!I85</f>
        <v>0</v>
      </c>
      <c r="J73" s="134">
        <f t="shared" si="1"/>
        <v>123.6125</v>
      </c>
      <c r="K73" s="134">
        <f t="shared" si="2"/>
        <v>125</v>
      </c>
      <c r="L73" s="134"/>
      <c r="M73" s="269"/>
      <c r="N73" s="321"/>
      <c r="O73" s="270"/>
      <c r="P73" s="270">
        <v>1.11E-2</v>
      </c>
      <c r="Q73" s="318"/>
    </row>
    <row r="74" spans="1:19" ht="14.1" customHeight="1" x14ac:dyDescent="0.2">
      <c r="A74" s="282">
        <v>53</v>
      </c>
      <c r="B74" s="311" t="s">
        <v>17</v>
      </c>
      <c r="C74" s="45"/>
      <c r="D74" s="134">
        <f>'ESTIMASI  Ekspor Impor'!G74+'ESTIMASI  Ekspor Impor'!J74-'ESTIMASI  Ekspor Impor'!K74</f>
        <v>0</v>
      </c>
      <c r="E74" s="134">
        <f>'Pemakaian Dalam Negeri'!E86</f>
        <v>0</v>
      </c>
      <c r="F74" s="134">
        <f>'Pemakaian Dalam Negeri'!F86</f>
        <v>0</v>
      </c>
      <c r="G74" s="134">
        <f>'Pemakaian Dalam Negeri'!G86</f>
        <v>0</v>
      </c>
      <c r="H74" s="134">
        <f t="shared" si="0"/>
        <v>0</v>
      </c>
      <c r="I74" s="134">
        <f>'Pemakaian Dalam Negeri'!I86</f>
        <v>0</v>
      </c>
      <c r="J74" s="134">
        <f t="shared" si="1"/>
        <v>0</v>
      </c>
      <c r="K74" s="134">
        <f t="shared" si="2"/>
        <v>0</v>
      </c>
      <c r="L74" s="134"/>
      <c r="M74" s="269"/>
      <c r="N74" s="270"/>
      <c r="O74" s="270"/>
      <c r="P74" s="270">
        <v>1.11E-2</v>
      </c>
      <c r="Q74" s="318"/>
    </row>
    <row r="75" spans="1:19" ht="14.1" customHeight="1" x14ac:dyDescent="0.2">
      <c r="A75" s="282">
        <v>54</v>
      </c>
      <c r="B75" s="295" t="s">
        <v>18</v>
      </c>
      <c r="C75" s="45"/>
      <c r="D75" s="134">
        <f>'ESTIMASI  Ekspor Impor'!G75+'ESTIMASI  Ekspor Impor'!J75-'ESTIMASI  Ekspor Impor'!K75</f>
        <v>382.00386447332943</v>
      </c>
      <c r="E75" s="134">
        <f>'Pemakaian Dalam Negeri'!E87</f>
        <v>0</v>
      </c>
      <c r="F75" s="134">
        <f>'Pemakaian Dalam Negeri'!F87</f>
        <v>0</v>
      </c>
      <c r="G75" s="134">
        <f>'Pemakaian Dalam Negeri'!G87</f>
        <v>0</v>
      </c>
      <c r="H75" s="134">
        <f t="shared" si="0"/>
        <v>4.2402428956539566</v>
      </c>
      <c r="I75" s="134">
        <f>'Pemakaian Dalam Negeri'!I87</f>
        <v>0</v>
      </c>
      <c r="J75" s="134">
        <f t="shared" si="1"/>
        <v>377.76362157767545</v>
      </c>
      <c r="K75" s="134">
        <f t="shared" si="2"/>
        <v>382.00386447332943</v>
      </c>
      <c r="L75" s="134"/>
      <c r="M75" s="269"/>
      <c r="N75" s="270"/>
      <c r="O75" s="270"/>
      <c r="P75" s="270">
        <v>1.11E-2</v>
      </c>
      <c r="Q75" s="318"/>
    </row>
    <row r="76" spans="1:19" ht="14.1" customHeight="1" x14ac:dyDescent="0.2">
      <c r="A76" s="282"/>
      <c r="B76" s="288"/>
      <c r="C76" s="293"/>
      <c r="D76" s="134"/>
      <c r="E76" s="134"/>
      <c r="F76" s="134"/>
      <c r="G76" s="134"/>
      <c r="H76" s="134"/>
      <c r="I76" s="134"/>
      <c r="J76" s="134"/>
      <c r="K76" s="134"/>
      <c r="L76" s="134"/>
      <c r="M76" s="406"/>
      <c r="N76" s="407"/>
      <c r="O76" s="407"/>
      <c r="P76" s="407"/>
      <c r="Q76" s="408"/>
      <c r="S76" s="258"/>
    </row>
    <row r="77" spans="1:19" ht="14.1" customHeight="1" x14ac:dyDescent="0.2">
      <c r="A77" s="295" t="s">
        <v>19</v>
      </c>
      <c r="B77" s="295"/>
      <c r="C77" s="282"/>
      <c r="D77" s="134"/>
      <c r="E77" s="134"/>
      <c r="F77" s="134"/>
      <c r="G77" s="134"/>
      <c r="H77" s="134"/>
      <c r="I77" s="134"/>
      <c r="J77" s="134"/>
      <c r="K77" s="134"/>
      <c r="L77" s="134"/>
      <c r="M77" s="406"/>
      <c r="N77" s="407"/>
      <c r="O77" s="407"/>
      <c r="P77" s="407"/>
      <c r="Q77" s="408"/>
      <c r="S77" s="258"/>
    </row>
    <row r="78" spans="1:19" ht="14.1" customHeight="1" x14ac:dyDescent="0.2">
      <c r="A78" s="282">
        <v>55</v>
      </c>
      <c r="B78" s="288" t="s">
        <v>451</v>
      </c>
      <c r="C78" s="45"/>
      <c r="D78" s="134">
        <f>'ESTIMASI  Ekspor Impor'!G78+'ESTIMASI  Ekspor Impor'!J78-'ESTIMASI  Ekspor Impor'!K78</f>
        <v>1465.3950400000001</v>
      </c>
      <c r="E78" s="134">
        <f>'Pemakaian Dalam Negeri'!E90</f>
        <v>0</v>
      </c>
      <c r="F78" s="134">
        <f>R78*N78</f>
        <v>0</v>
      </c>
      <c r="G78" s="134">
        <f>'Pemakaian Dalam Negeri'!G90</f>
        <v>0</v>
      </c>
      <c r="H78" s="134">
        <f t="shared" ref="H78:H110" si="3">D78*P78</f>
        <v>31.799072368000004</v>
      </c>
      <c r="I78" s="134">
        <f>'Pemakaian Dalam Negeri'!I90</f>
        <v>0</v>
      </c>
      <c r="J78" s="134">
        <f t="shared" ref="J78:J110" si="4">D78-E78-F78-G78-H78-I78</f>
        <v>1433.5959676320001</v>
      </c>
      <c r="K78" s="134">
        <f t="shared" ref="K78:K110" si="5">E78+F78+G78+H78+I78+J78</f>
        <v>1465.3950400000001</v>
      </c>
      <c r="L78" s="134"/>
      <c r="M78" s="271"/>
      <c r="N78" s="271">
        <f>2.5*0.6584</f>
        <v>1.6459999999999999</v>
      </c>
      <c r="O78" s="270"/>
      <c r="P78" s="270">
        <v>2.1700000000000001E-2</v>
      </c>
      <c r="Q78" s="318"/>
      <c r="R78" s="444">
        <f>'Pemakaian Dalam Negeri'!R90</f>
        <v>0</v>
      </c>
      <c r="S78" s="258"/>
    </row>
    <row r="79" spans="1:19" ht="14.1" customHeight="1" x14ac:dyDescent="0.2">
      <c r="A79" s="282">
        <v>56</v>
      </c>
      <c r="B79" s="295" t="s">
        <v>467</v>
      </c>
      <c r="C79" s="45"/>
      <c r="D79" s="134">
        <f>'ESTIMASI  Ekspor Impor'!G79+'ESTIMASI  Ekspor Impor'!J79-'ESTIMASI  Ekspor Impor'!K79</f>
        <v>430</v>
      </c>
      <c r="E79" s="134">
        <f>'Pemakaian Dalam Negeri'!E91</f>
        <v>0</v>
      </c>
      <c r="F79" s="134">
        <f>D79*N79</f>
        <v>1.0319999999999998</v>
      </c>
      <c r="G79" s="134">
        <f>'Pemakaian Dalam Negeri'!G91</f>
        <v>0</v>
      </c>
      <c r="H79" s="134">
        <f t="shared" si="3"/>
        <v>8.6000000000000007E-2</v>
      </c>
      <c r="I79" s="134">
        <f>'Pemakaian Dalam Negeri'!I91</f>
        <v>0</v>
      </c>
      <c r="J79" s="134">
        <f t="shared" si="4"/>
        <v>428.88200000000001</v>
      </c>
      <c r="K79" s="134">
        <f t="shared" si="5"/>
        <v>430</v>
      </c>
      <c r="L79" s="134"/>
      <c r="M79" s="269"/>
      <c r="N79" s="271">
        <v>2.3999999999999998E-3</v>
      </c>
      <c r="O79" s="270"/>
      <c r="P79" s="270">
        <v>2.0000000000000001E-4</v>
      </c>
      <c r="Q79" s="318"/>
      <c r="R79" s="444">
        <f>'Pemakaian Dalam Negeri'!R91</f>
        <v>0</v>
      </c>
      <c r="S79" s="258"/>
    </row>
    <row r="80" spans="1:19" ht="14.1" customHeight="1" x14ac:dyDescent="0.2">
      <c r="A80" s="282">
        <v>57</v>
      </c>
      <c r="B80" s="295" t="s">
        <v>27</v>
      </c>
      <c r="C80" s="45"/>
      <c r="D80" s="134">
        <f>'ESTIMASI  Ekspor Impor'!G80+'ESTIMASI  Ekspor Impor'!J80-'ESTIMASI  Ekspor Impor'!K80</f>
        <v>0</v>
      </c>
      <c r="E80" s="134">
        <f>'Pemakaian Dalam Negeri'!E92</f>
        <v>0</v>
      </c>
      <c r="F80" s="134">
        <f>'Pemakaian Dalam Negeri'!F92</f>
        <v>0</v>
      </c>
      <c r="G80" s="134">
        <f>'Pemakaian Dalam Negeri'!G92</f>
        <v>0</v>
      </c>
      <c r="H80" s="134">
        <f t="shared" si="3"/>
        <v>0</v>
      </c>
      <c r="I80" s="134">
        <f>'Pemakaian Dalam Negeri'!I92</f>
        <v>0</v>
      </c>
      <c r="J80" s="134">
        <f t="shared" si="4"/>
        <v>0</v>
      </c>
      <c r="K80" s="134">
        <f t="shared" si="5"/>
        <v>0</v>
      </c>
      <c r="L80" s="134"/>
      <c r="M80" s="269"/>
      <c r="N80" s="271"/>
      <c r="O80" s="270"/>
      <c r="P80" s="270">
        <v>2.41E-2</v>
      </c>
      <c r="Q80" s="318"/>
      <c r="S80" s="258"/>
    </row>
    <row r="81" spans="1:19" ht="14.1" customHeight="1" x14ac:dyDescent="0.2">
      <c r="A81" s="282">
        <v>58</v>
      </c>
      <c r="B81" s="295" t="s">
        <v>452</v>
      </c>
      <c r="C81" s="45"/>
      <c r="D81" s="134">
        <f>'ESTIMASI  Ekspor Impor'!G81+'ESTIMASI  Ekspor Impor'!J81-'ESTIMASI  Ekspor Impor'!K81</f>
        <v>7.4</v>
      </c>
      <c r="E81" s="134">
        <f>'Pemakaian Dalam Negeri'!E93</f>
        <v>0</v>
      </c>
      <c r="F81" s="134">
        <f>D81*N81</f>
        <v>5.2540000000000003E-2</v>
      </c>
      <c r="G81" s="134">
        <f>'Pemakaian Dalam Negeri'!G93</f>
        <v>0</v>
      </c>
      <c r="H81" s="134">
        <f t="shared" si="3"/>
        <v>0.12580000000000002</v>
      </c>
      <c r="I81" s="134">
        <f>'Pemakaian Dalam Negeri'!I93</f>
        <v>0</v>
      </c>
      <c r="J81" s="134">
        <f t="shared" si="4"/>
        <v>7.2216600000000009</v>
      </c>
      <c r="K81" s="134">
        <f t="shared" si="5"/>
        <v>7.4000000000000012</v>
      </c>
      <c r="L81" s="134"/>
      <c r="M81" s="271"/>
      <c r="N81" s="271">
        <v>7.1000000000000004E-3</v>
      </c>
      <c r="O81" s="270"/>
      <c r="P81" s="270">
        <v>1.7000000000000001E-2</v>
      </c>
      <c r="Q81" s="318"/>
      <c r="S81" s="258"/>
    </row>
    <row r="82" spans="1:19" s="52" customFormat="1" ht="14.1" customHeight="1" x14ac:dyDescent="0.2">
      <c r="A82" s="282">
        <v>59</v>
      </c>
      <c r="B82" s="288" t="s">
        <v>453</v>
      </c>
      <c r="C82" s="45"/>
      <c r="D82" s="134">
        <f>'ESTIMASI  Ekspor Impor'!G82+'ESTIMASI  Ekspor Impor'!J82-'ESTIMASI  Ekspor Impor'!K82</f>
        <v>128</v>
      </c>
      <c r="E82" s="134">
        <f>'Pemakaian Dalam Negeri'!E94</f>
        <v>0</v>
      </c>
      <c r="F82" s="134">
        <f>D82*N82</f>
        <v>3.6736</v>
      </c>
      <c r="G82" s="134">
        <f>'Pemakaian Dalam Negeri'!G94</f>
        <v>0</v>
      </c>
      <c r="H82" s="134">
        <f t="shared" si="3"/>
        <v>2.5600000000000001E-2</v>
      </c>
      <c r="I82" s="134">
        <f>'Pemakaian Dalam Negeri'!I94</f>
        <v>0</v>
      </c>
      <c r="J82" s="134">
        <f t="shared" si="4"/>
        <v>124.30080000000001</v>
      </c>
      <c r="K82" s="134">
        <f t="shared" si="5"/>
        <v>128</v>
      </c>
      <c r="L82" s="134"/>
      <c r="M82" s="271"/>
      <c r="N82" s="271">
        <v>2.87E-2</v>
      </c>
      <c r="O82" s="270"/>
      <c r="P82" s="270">
        <v>2.0000000000000001E-4</v>
      </c>
      <c r="Q82" s="318"/>
      <c r="R82" s="540"/>
      <c r="S82" s="258"/>
    </row>
    <row r="83" spans="1:19" s="52" customFormat="1" ht="14.1" customHeight="1" x14ac:dyDescent="0.2">
      <c r="A83" s="282">
        <v>60</v>
      </c>
      <c r="B83" s="288" t="s">
        <v>454</v>
      </c>
      <c r="C83" s="45"/>
      <c r="D83" s="134">
        <f>'ESTIMASI  Ekspor Impor'!G83+'ESTIMASI  Ekspor Impor'!J83-'ESTIMASI  Ekspor Impor'!K83</f>
        <v>529.62480858847243</v>
      </c>
      <c r="E83" s="134">
        <f>'Pemakaian Dalam Negeri'!E95</f>
        <v>0</v>
      </c>
      <c r="F83" s="134">
        <f>D83*N83</f>
        <v>2.330349157789279</v>
      </c>
      <c r="G83" s="134">
        <f>'Pemakaian Dalam Negeri'!G95</f>
        <v>0</v>
      </c>
      <c r="H83" s="134">
        <f t="shared" si="3"/>
        <v>10.433608729192906</v>
      </c>
      <c r="I83" s="134">
        <f>'Pemakaian Dalam Negeri'!I95</f>
        <v>0</v>
      </c>
      <c r="J83" s="134">
        <f t="shared" si="4"/>
        <v>516.86085070149022</v>
      </c>
      <c r="K83" s="134">
        <f t="shared" si="5"/>
        <v>529.62480858847243</v>
      </c>
      <c r="L83" s="134"/>
      <c r="M83" s="271"/>
      <c r="N83" s="271">
        <v>4.4000000000000003E-3</v>
      </c>
      <c r="O83" s="270"/>
      <c r="P83" s="270">
        <v>1.9699999999999999E-2</v>
      </c>
      <c r="Q83" s="318"/>
      <c r="R83" s="540"/>
      <c r="S83" s="258"/>
    </row>
    <row r="84" spans="1:19" s="52" customFormat="1" ht="14.1" customHeight="1" x14ac:dyDescent="0.2">
      <c r="A84" s="282">
        <v>61</v>
      </c>
      <c r="B84" s="288" t="s">
        <v>455</v>
      </c>
      <c r="C84" s="45"/>
      <c r="D84" s="134">
        <f>'ESTIMASI  Ekspor Impor'!G84+'ESTIMASI  Ekspor Impor'!J84-'ESTIMASI  Ekspor Impor'!K84</f>
        <v>1745</v>
      </c>
      <c r="E84" s="134">
        <f>'Pemakaian Dalam Negeri'!E96</f>
        <v>0</v>
      </c>
      <c r="F84" s="134">
        <f>D84*N84</f>
        <v>20.765499999999999</v>
      </c>
      <c r="G84" s="134">
        <f>'Pemakaian Dalam Negeri'!G96</f>
        <v>0</v>
      </c>
      <c r="H84" s="134">
        <f t="shared" si="3"/>
        <v>19.718499999999999</v>
      </c>
      <c r="I84" s="134">
        <f>'Pemakaian Dalam Negeri'!I96</f>
        <v>0</v>
      </c>
      <c r="J84" s="134">
        <f t="shared" si="4"/>
        <v>1704.5160000000001</v>
      </c>
      <c r="K84" s="134">
        <f t="shared" si="5"/>
        <v>1745</v>
      </c>
      <c r="L84" s="134"/>
      <c r="M84" s="271"/>
      <c r="N84" s="271">
        <v>1.1899999999999999E-2</v>
      </c>
      <c r="O84" s="270"/>
      <c r="P84" s="270">
        <v>1.1299999999999999E-2</v>
      </c>
      <c r="Q84" s="318"/>
      <c r="R84" s="540"/>
      <c r="S84" s="258"/>
    </row>
    <row r="85" spans="1:19" ht="14.1" customHeight="1" x14ac:dyDescent="0.2">
      <c r="A85" s="282">
        <v>62</v>
      </c>
      <c r="B85" s="295" t="s">
        <v>456</v>
      </c>
      <c r="C85" s="45"/>
      <c r="D85" s="134">
        <f>'ESTIMASI  Ekspor Impor'!G85+'ESTIMASI  Ekspor Impor'!J85-'ESTIMASI  Ekspor Impor'!K85</f>
        <v>467.37101379105854</v>
      </c>
      <c r="E85" s="134">
        <f>'Pemakaian Dalam Negeri'!E97</f>
        <v>0</v>
      </c>
      <c r="F85" s="134">
        <f>'Pemakaian Dalam Negeri'!F97</f>
        <v>0</v>
      </c>
      <c r="G85" s="134">
        <f>'Pemakaian Dalam Negeri'!G97</f>
        <v>0</v>
      </c>
      <c r="H85" s="134">
        <f t="shared" si="3"/>
        <v>11.26364143236451</v>
      </c>
      <c r="I85" s="134">
        <f>'Pemakaian Dalam Negeri'!I97</f>
        <v>0</v>
      </c>
      <c r="J85" s="134">
        <f t="shared" si="4"/>
        <v>456.10737235869402</v>
      </c>
      <c r="K85" s="134">
        <f t="shared" si="5"/>
        <v>467.37101379105854</v>
      </c>
      <c r="L85" s="134"/>
      <c r="M85" s="271"/>
      <c r="N85" s="271">
        <v>0</v>
      </c>
      <c r="O85" s="270"/>
      <c r="P85" s="270">
        <v>2.41E-2</v>
      </c>
      <c r="Q85" s="318"/>
      <c r="S85" s="258"/>
    </row>
    <row r="86" spans="1:19" ht="14.1" customHeight="1" x14ac:dyDescent="0.2">
      <c r="A86" s="282">
        <v>63</v>
      </c>
      <c r="B86" s="295" t="s">
        <v>457</v>
      </c>
      <c r="C86" s="45"/>
      <c r="D86" s="134">
        <f>'ESTIMASI  Ekspor Impor'!G86+'ESTIMASI  Ekspor Impor'!J86-'ESTIMASI  Ekspor Impor'!K86</f>
        <v>1329</v>
      </c>
      <c r="E86" s="134">
        <f>'Pemakaian Dalam Negeri'!E98</f>
        <v>0</v>
      </c>
      <c r="F86" s="134">
        <f>D86*N86</f>
        <v>9.4359000000000002</v>
      </c>
      <c r="G86" s="134">
        <f>'Pemakaian Dalam Negeri'!G98</f>
        <v>0</v>
      </c>
      <c r="H86" s="134">
        <f t="shared" si="3"/>
        <v>22.460099999999997</v>
      </c>
      <c r="I86" s="134">
        <f>'Pemakaian Dalam Negeri'!I98</f>
        <v>0</v>
      </c>
      <c r="J86" s="134">
        <f t="shared" si="4"/>
        <v>1297.104</v>
      </c>
      <c r="K86" s="134">
        <f t="shared" si="5"/>
        <v>1329</v>
      </c>
      <c r="L86" s="134"/>
      <c r="M86" s="271"/>
      <c r="N86" s="271">
        <v>7.0999999999999995E-3</v>
      </c>
      <c r="O86" s="270"/>
      <c r="P86" s="270">
        <v>1.6899999999999998E-2</v>
      </c>
      <c r="Q86" s="318"/>
      <c r="S86" s="258"/>
    </row>
    <row r="87" spans="1:19" ht="14.1" customHeight="1" x14ac:dyDescent="0.2">
      <c r="A87" s="282">
        <v>64</v>
      </c>
      <c r="B87" s="295" t="s">
        <v>458</v>
      </c>
      <c r="C87" s="45"/>
      <c r="D87" s="134">
        <f>'ESTIMASI  Ekspor Impor'!G87+'ESTIMASI  Ekspor Impor'!J87-'ESTIMASI  Ekspor Impor'!K87</f>
        <v>440.85614403821103</v>
      </c>
      <c r="E87" s="134">
        <f>'Pemakaian Dalam Negeri'!E99</f>
        <v>0</v>
      </c>
      <c r="F87" s="134">
        <f>'Pemakaian Dalam Negeri'!F99</f>
        <v>0</v>
      </c>
      <c r="G87" s="134">
        <f>'Pemakaian Dalam Negeri'!G99</f>
        <v>0</v>
      </c>
      <c r="H87" s="134">
        <f t="shared" si="3"/>
        <v>10.624633071320886</v>
      </c>
      <c r="I87" s="134">
        <f>'Pemakaian Dalam Negeri'!I99</f>
        <v>0</v>
      </c>
      <c r="J87" s="134">
        <f t="shared" si="4"/>
        <v>430.23151096689014</v>
      </c>
      <c r="K87" s="134">
        <f t="shared" si="5"/>
        <v>440.85614403821103</v>
      </c>
      <c r="L87" s="134"/>
      <c r="M87" s="271"/>
      <c r="N87" s="271">
        <v>0</v>
      </c>
      <c r="O87" s="270"/>
      <c r="P87" s="270">
        <v>2.41E-2</v>
      </c>
      <c r="Q87" s="318"/>
      <c r="S87" s="258"/>
    </row>
    <row r="88" spans="1:19" ht="14.1" customHeight="1" x14ac:dyDescent="0.2">
      <c r="A88" s="282">
        <v>65</v>
      </c>
      <c r="B88" s="295" t="s">
        <v>459</v>
      </c>
      <c r="C88" s="45"/>
      <c r="D88" s="134">
        <f>'ESTIMASI  Ekspor Impor'!G88+'ESTIMASI  Ekspor Impor'!J88-'ESTIMASI  Ekspor Impor'!K88</f>
        <v>2498.4</v>
      </c>
      <c r="E88" s="134">
        <f>'Pemakaian Dalam Negeri'!E100</f>
        <v>0</v>
      </c>
      <c r="F88" s="134">
        <f>D88*N88</f>
        <v>17.73864</v>
      </c>
      <c r="G88" s="134">
        <f>'Pemakaian Dalam Negeri'!G100</f>
        <v>0</v>
      </c>
      <c r="H88" s="134">
        <f t="shared" si="3"/>
        <v>38.725200000000001</v>
      </c>
      <c r="I88" s="134">
        <f>'Pemakaian Dalam Negeri'!I100</f>
        <v>0</v>
      </c>
      <c r="J88" s="134">
        <f t="shared" si="4"/>
        <v>2441.9361600000002</v>
      </c>
      <c r="K88" s="134">
        <f t="shared" si="5"/>
        <v>2498.4</v>
      </c>
      <c r="L88" s="134"/>
      <c r="M88" s="271"/>
      <c r="N88" s="271">
        <v>7.0999999999999995E-3</v>
      </c>
      <c r="O88" s="270"/>
      <c r="P88" s="270">
        <v>1.55E-2</v>
      </c>
      <c r="Q88" s="318"/>
      <c r="S88" s="258"/>
    </row>
    <row r="89" spans="1:19" ht="14.1" customHeight="1" x14ac:dyDescent="0.2">
      <c r="A89" s="282">
        <v>66</v>
      </c>
      <c r="B89" s="295" t="s">
        <v>20</v>
      </c>
      <c r="C89" s="45"/>
      <c r="D89" s="134">
        <f>'ESTIMASI  Ekspor Impor'!G89+'ESTIMASI  Ekspor Impor'!J89-'ESTIMASI  Ekspor Impor'!K89</f>
        <v>573.70000000000005</v>
      </c>
      <c r="E89" s="134">
        <f>'Pemakaian Dalam Negeri'!E101</f>
        <v>0</v>
      </c>
      <c r="F89" s="134">
        <f>D89*N89</f>
        <v>4.0732699999999999</v>
      </c>
      <c r="G89" s="134">
        <f>'Pemakaian Dalam Negeri'!G101</f>
        <v>0</v>
      </c>
      <c r="H89" s="134">
        <f t="shared" si="3"/>
        <v>9.8101717005369373</v>
      </c>
      <c r="I89" s="134">
        <f>'Pemakaian Dalam Negeri'!I101</f>
        <v>0</v>
      </c>
      <c r="J89" s="134">
        <f t="shared" si="4"/>
        <v>559.81655829946317</v>
      </c>
      <c r="K89" s="134">
        <f t="shared" si="5"/>
        <v>573.70000000000016</v>
      </c>
      <c r="L89" s="134"/>
      <c r="M89" s="271"/>
      <c r="N89" s="271">
        <v>7.0999999999999995E-3</v>
      </c>
      <c r="O89" s="270"/>
      <c r="P89" s="270">
        <v>1.7099828657027954E-2</v>
      </c>
      <c r="Q89" s="318"/>
      <c r="S89" s="258"/>
    </row>
    <row r="90" spans="1:19" ht="14.1" customHeight="1" x14ac:dyDescent="0.2">
      <c r="A90" s="282">
        <v>67</v>
      </c>
      <c r="B90" s="295" t="s">
        <v>460</v>
      </c>
      <c r="C90" s="45"/>
      <c r="D90" s="134">
        <f>'ESTIMASI  Ekspor Impor'!G90+'ESTIMASI  Ekspor Impor'!J90-'ESTIMASI  Ekspor Impor'!K90</f>
        <v>1084.9987879352141</v>
      </c>
      <c r="E90" s="134">
        <f>'Pemakaian Dalam Negeri'!E102</f>
        <v>0</v>
      </c>
      <c r="F90" s="134">
        <f>D90*N90</f>
        <v>7.9204911519270631</v>
      </c>
      <c r="G90" s="134">
        <f>'Pemakaian Dalam Negeri'!G102</f>
        <v>0</v>
      </c>
      <c r="H90" s="134">
        <f t="shared" si="3"/>
        <v>18.227979637311595</v>
      </c>
      <c r="I90" s="134">
        <f>'Pemakaian Dalam Negeri'!I102</f>
        <v>0</v>
      </c>
      <c r="J90" s="134">
        <f t="shared" si="4"/>
        <v>1058.8503171459754</v>
      </c>
      <c r="K90" s="134">
        <f t="shared" si="5"/>
        <v>1084.9987879352141</v>
      </c>
      <c r="L90" s="134"/>
      <c r="M90" s="271"/>
      <c r="N90" s="271">
        <v>7.3000000000000001E-3</v>
      </c>
      <c r="O90" s="270"/>
      <c r="P90" s="270">
        <v>1.6799999999999999E-2</v>
      </c>
      <c r="Q90" s="318"/>
      <c r="S90" s="258"/>
    </row>
    <row r="91" spans="1:19" ht="14.1" customHeight="1" x14ac:dyDescent="0.2">
      <c r="A91" s="282">
        <v>68</v>
      </c>
      <c r="B91" s="291" t="s">
        <v>461</v>
      </c>
      <c r="C91" s="45"/>
      <c r="D91" s="134">
        <f>'ESTIMASI  Ekspor Impor'!G91+'ESTIMASI  Ekspor Impor'!J91-'ESTIMASI  Ekspor Impor'!K91</f>
        <v>199.41200385185212</v>
      </c>
      <c r="E91" s="134">
        <f>'Pemakaian Dalam Negeri'!E103</f>
        <v>0</v>
      </c>
      <c r="F91" s="134">
        <f>'Pemakaian Dalam Negeri'!F103</f>
        <v>0</v>
      </c>
      <c r="G91" s="134">
        <f>'Pemakaian Dalam Negeri'!G103</f>
        <v>0</v>
      </c>
      <c r="H91" s="134">
        <f t="shared" si="3"/>
        <v>4.8058292928296362</v>
      </c>
      <c r="I91" s="134">
        <f>'Pemakaian Dalam Negeri'!I103</f>
        <v>0</v>
      </c>
      <c r="J91" s="134">
        <f t="shared" si="4"/>
        <v>194.60617455902249</v>
      </c>
      <c r="K91" s="134">
        <f t="shared" si="5"/>
        <v>199.41200385185212</v>
      </c>
      <c r="L91" s="134"/>
      <c r="M91" s="271"/>
      <c r="N91" s="271"/>
      <c r="O91" s="270"/>
      <c r="P91" s="270">
        <v>2.41E-2</v>
      </c>
      <c r="Q91" s="318"/>
      <c r="S91" s="258"/>
    </row>
    <row r="92" spans="1:19" ht="14.1" customHeight="1" x14ac:dyDescent="0.2">
      <c r="A92" s="282">
        <v>69</v>
      </c>
      <c r="B92" s="295" t="s">
        <v>577</v>
      </c>
      <c r="C92" s="45"/>
      <c r="D92" s="134">
        <f>'ESTIMASI  Ekspor Impor'!G92+'ESTIMASI  Ekspor Impor'!J92-'ESTIMASI  Ekspor Impor'!K92</f>
        <v>0</v>
      </c>
      <c r="E92" s="134">
        <f>'Pemakaian Dalam Negeri'!E104</f>
        <v>0</v>
      </c>
      <c r="F92" s="134">
        <f t="shared" ref="F92:F97" si="6">D92*N92</f>
        <v>0</v>
      </c>
      <c r="G92" s="134">
        <f>'Pemakaian Dalam Negeri'!G104</f>
        <v>0</v>
      </c>
      <c r="H92" s="134">
        <f t="shared" si="3"/>
        <v>0</v>
      </c>
      <c r="I92" s="134">
        <f>'Pemakaian Dalam Negeri'!I104</f>
        <v>0</v>
      </c>
      <c r="J92" s="134">
        <f t="shared" si="4"/>
        <v>0</v>
      </c>
      <c r="K92" s="134">
        <f t="shared" si="5"/>
        <v>0</v>
      </c>
      <c r="L92" s="134"/>
      <c r="M92" s="271"/>
      <c r="N92" s="271">
        <v>6.9999999999999993E-3</v>
      </c>
      <c r="O92" s="270"/>
      <c r="P92" s="270">
        <v>1.7100000000000001E-2</v>
      </c>
      <c r="Q92" s="318"/>
      <c r="S92" s="258"/>
    </row>
    <row r="93" spans="1:19" ht="14.1" customHeight="1" x14ac:dyDescent="0.2">
      <c r="A93" s="282">
        <v>70</v>
      </c>
      <c r="B93" s="295" t="s">
        <v>462</v>
      </c>
      <c r="C93" s="45"/>
      <c r="D93" s="134">
        <f>'ESTIMASI  Ekspor Impor'!G93+'ESTIMASI  Ekspor Impor'!J93-'ESTIMASI  Ekspor Impor'!K93</f>
        <v>1151.1098900807685</v>
      </c>
      <c r="E93" s="134">
        <f>'Pemakaian Dalam Negeri'!E105</f>
        <v>0</v>
      </c>
      <c r="F93" s="134">
        <f t="shared" si="6"/>
        <v>6.676437362468457</v>
      </c>
      <c r="G93" s="134">
        <f>'Pemakaian Dalam Negeri'!G105</f>
        <v>0</v>
      </c>
      <c r="H93" s="134">
        <f t="shared" si="3"/>
        <v>21.065310988478064</v>
      </c>
      <c r="I93" s="134">
        <f>'Pemakaian Dalam Negeri'!I105</f>
        <v>0</v>
      </c>
      <c r="J93" s="134">
        <f t="shared" si="4"/>
        <v>1123.3681417298219</v>
      </c>
      <c r="K93" s="134">
        <f t="shared" si="5"/>
        <v>1151.1098900807683</v>
      </c>
      <c r="L93" s="134"/>
      <c r="M93" s="271"/>
      <c r="N93" s="271">
        <v>5.7999999999999996E-3</v>
      </c>
      <c r="O93" s="270"/>
      <c r="P93" s="270">
        <v>1.83E-2</v>
      </c>
      <c r="Q93" s="318"/>
      <c r="S93" s="258"/>
    </row>
    <row r="94" spans="1:19" ht="14.1" customHeight="1" x14ac:dyDescent="0.2">
      <c r="A94" s="282">
        <v>71</v>
      </c>
      <c r="B94" s="295" t="s">
        <v>463</v>
      </c>
      <c r="C94" s="45"/>
      <c r="D94" s="134">
        <f>'ESTIMASI  Ekspor Impor'!G94+'ESTIMASI  Ekspor Impor'!J94-'ESTIMASI  Ekspor Impor'!K94</f>
        <v>1787</v>
      </c>
      <c r="E94" s="134">
        <f>'Pemakaian Dalam Negeri'!E106</f>
        <v>0</v>
      </c>
      <c r="F94" s="134">
        <f t="shared" si="6"/>
        <v>6.9693000000000005</v>
      </c>
      <c r="G94" s="134">
        <f>'Pemakaian Dalam Negeri'!G106</f>
        <v>0</v>
      </c>
      <c r="H94" s="134">
        <f t="shared" si="3"/>
        <v>36.0974</v>
      </c>
      <c r="I94" s="134">
        <f>'Pemakaian Dalam Negeri'!I106</f>
        <v>0</v>
      </c>
      <c r="J94" s="134">
        <f t="shared" si="4"/>
        <v>1743.9332999999999</v>
      </c>
      <c r="K94" s="134">
        <f t="shared" si="5"/>
        <v>1787</v>
      </c>
      <c r="L94" s="134"/>
      <c r="M94" s="271"/>
      <c r="N94" s="271">
        <v>3.9000000000000003E-3</v>
      </c>
      <c r="O94" s="270"/>
      <c r="P94" s="270">
        <v>2.0199999999999999E-2</v>
      </c>
      <c r="Q94" s="318"/>
      <c r="S94" s="258"/>
    </row>
    <row r="95" spans="1:19" s="52" customFormat="1" ht="14.1" customHeight="1" x14ac:dyDescent="0.2">
      <c r="A95" s="282">
        <v>72</v>
      </c>
      <c r="B95" s="295" t="s">
        <v>464</v>
      </c>
      <c r="C95" s="45"/>
      <c r="D95" s="134">
        <f>'ESTIMASI  Ekspor Impor'!G95+'ESTIMASI  Ekspor Impor'!J95-'ESTIMASI  Ekspor Impor'!K95</f>
        <v>0</v>
      </c>
      <c r="E95" s="134">
        <f>'Pemakaian Dalam Negeri'!E107</f>
        <v>0</v>
      </c>
      <c r="F95" s="134">
        <f t="shared" si="6"/>
        <v>0</v>
      </c>
      <c r="G95" s="134">
        <f>'Pemakaian Dalam Negeri'!G107</f>
        <v>0</v>
      </c>
      <c r="H95" s="134">
        <f t="shared" si="3"/>
        <v>0</v>
      </c>
      <c r="I95" s="134">
        <f>'Pemakaian Dalam Negeri'!I107</f>
        <v>0</v>
      </c>
      <c r="J95" s="134">
        <f t="shared" si="4"/>
        <v>0</v>
      </c>
      <c r="K95" s="134">
        <f t="shared" si="5"/>
        <v>0</v>
      </c>
      <c r="L95" s="134"/>
      <c r="M95" s="271"/>
      <c r="N95" s="269">
        <v>4.3E-3</v>
      </c>
      <c r="O95" s="273"/>
      <c r="P95" s="273">
        <v>1.9799999999999998E-2</v>
      </c>
      <c r="Q95" s="318"/>
      <c r="R95" s="540"/>
      <c r="S95" s="258"/>
    </row>
    <row r="96" spans="1:19" s="52" customFormat="1" ht="14.1" customHeight="1" x14ac:dyDescent="0.2">
      <c r="A96" s="282">
        <v>73</v>
      </c>
      <c r="B96" s="295" t="s">
        <v>465</v>
      </c>
      <c r="C96" s="45"/>
      <c r="D96" s="134">
        <f>'ESTIMASI  Ekspor Impor'!G96+'ESTIMASI  Ekspor Impor'!J96-'ESTIMASI  Ekspor Impor'!K96</f>
        <v>248.16902064286708</v>
      </c>
      <c r="E96" s="134">
        <f>'Pemakaian Dalam Negeri'!E108</f>
        <v>0</v>
      </c>
      <c r="F96" s="134">
        <f t="shared" si="6"/>
        <v>1.0919436908286153</v>
      </c>
      <c r="G96" s="134">
        <f>'Pemakaian Dalam Negeri'!G108</f>
        <v>0</v>
      </c>
      <c r="H96" s="134">
        <f t="shared" si="3"/>
        <v>4.8889297066644808</v>
      </c>
      <c r="I96" s="134">
        <f>'Pemakaian Dalam Negeri'!I108</f>
        <v>0</v>
      </c>
      <c r="J96" s="134">
        <f t="shared" si="4"/>
        <v>242.18814724537398</v>
      </c>
      <c r="K96" s="134">
        <f t="shared" si="5"/>
        <v>248.16902064286708</v>
      </c>
      <c r="L96" s="134"/>
      <c r="M96" s="271"/>
      <c r="N96" s="269">
        <v>4.4000000000000003E-3</v>
      </c>
      <c r="O96" s="273"/>
      <c r="P96" s="273">
        <v>1.9699999999999999E-2</v>
      </c>
      <c r="Q96" s="318"/>
      <c r="R96" s="540"/>
      <c r="S96" s="258"/>
    </row>
    <row r="97" spans="1:19" s="52" customFormat="1" ht="14.1" customHeight="1" x14ac:dyDescent="0.2">
      <c r="A97" s="282">
        <v>74</v>
      </c>
      <c r="B97" s="295" t="s">
        <v>466</v>
      </c>
      <c r="C97" s="45"/>
      <c r="D97" s="134">
        <f>'ESTIMASI  Ekspor Impor'!G97+'ESTIMASI  Ekspor Impor'!J97-'ESTIMASI  Ekspor Impor'!K97</f>
        <v>965.93099457634594</v>
      </c>
      <c r="E97" s="134">
        <f>'Pemakaian Dalam Negeri'!E109</f>
        <v>0</v>
      </c>
      <c r="F97" s="134">
        <f t="shared" si="6"/>
        <v>4.2500963761359225</v>
      </c>
      <c r="G97" s="134">
        <f>'Pemakaian Dalam Negeri'!G109</f>
        <v>0</v>
      </c>
      <c r="H97" s="134">
        <f t="shared" si="3"/>
        <v>19.028840593154015</v>
      </c>
      <c r="I97" s="134">
        <f>'Pemakaian Dalam Negeri'!I109</f>
        <v>0</v>
      </c>
      <c r="J97" s="134">
        <f t="shared" si="4"/>
        <v>942.65205760705601</v>
      </c>
      <c r="K97" s="134">
        <f t="shared" si="5"/>
        <v>965.93099457634594</v>
      </c>
      <c r="L97" s="134"/>
      <c r="M97" s="271"/>
      <c r="N97" s="269">
        <v>4.4000000000000003E-3</v>
      </c>
      <c r="O97" s="273"/>
      <c r="P97" s="273">
        <v>1.9699999999999999E-2</v>
      </c>
      <c r="Q97" s="318"/>
      <c r="R97" s="540"/>
      <c r="S97" s="258"/>
    </row>
    <row r="98" spans="1:19" ht="14.1" customHeight="1" x14ac:dyDescent="0.2">
      <c r="A98" s="282">
        <v>75</v>
      </c>
      <c r="B98" s="295" t="s">
        <v>468</v>
      </c>
      <c r="C98" s="45"/>
      <c r="D98" s="134">
        <f>'ESTIMASI  Ekspor Impor'!G98+'ESTIMASI  Ekspor Impor'!J98-'ESTIMASI  Ekspor Impor'!K98</f>
        <v>0</v>
      </c>
      <c r="E98" s="134">
        <f>'Pemakaian Dalam Negeri'!E110</f>
        <v>0</v>
      </c>
      <c r="F98" s="134">
        <f>'Pemakaian Dalam Negeri'!F110</f>
        <v>0</v>
      </c>
      <c r="G98" s="134">
        <f>'Pemakaian Dalam Negeri'!G110</f>
        <v>0</v>
      </c>
      <c r="H98" s="134">
        <f t="shared" si="3"/>
        <v>0</v>
      </c>
      <c r="I98" s="134">
        <f>'Pemakaian Dalam Negeri'!I110</f>
        <v>0</v>
      </c>
      <c r="J98" s="134">
        <f t="shared" si="4"/>
        <v>0</v>
      </c>
      <c r="K98" s="134">
        <f t="shared" si="5"/>
        <v>0</v>
      </c>
      <c r="L98" s="134"/>
      <c r="M98" s="269"/>
      <c r="N98" s="271"/>
      <c r="O98" s="270"/>
      <c r="P98" s="272">
        <v>2.41E-2</v>
      </c>
      <c r="Q98" s="318"/>
      <c r="S98" s="258"/>
    </row>
    <row r="99" spans="1:19" ht="14.1" customHeight="1" x14ac:dyDescent="0.2">
      <c r="A99" s="282">
        <v>76</v>
      </c>
      <c r="B99" s="295" t="s">
        <v>469</v>
      </c>
      <c r="C99" s="45"/>
      <c r="D99" s="134">
        <f>'ESTIMASI  Ekspor Impor'!G99+'ESTIMASI  Ekspor Impor'!J99-'ESTIMASI  Ekspor Impor'!K99</f>
        <v>0</v>
      </c>
      <c r="E99" s="134">
        <f>'Pemakaian Dalam Negeri'!E111</f>
        <v>0</v>
      </c>
      <c r="F99" s="134">
        <f>'Pemakaian Dalam Negeri'!F111</f>
        <v>0</v>
      </c>
      <c r="G99" s="134">
        <f>'Pemakaian Dalam Negeri'!G111</f>
        <v>0</v>
      </c>
      <c r="H99" s="134">
        <f t="shared" si="3"/>
        <v>0</v>
      </c>
      <c r="I99" s="134">
        <f>'Pemakaian Dalam Negeri'!I111</f>
        <v>0</v>
      </c>
      <c r="J99" s="134">
        <f t="shared" si="4"/>
        <v>0</v>
      </c>
      <c r="K99" s="134">
        <f t="shared" si="5"/>
        <v>0</v>
      </c>
      <c r="L99" s="134"/>
      <c r="M99" s="269"/>
      <c r="N99" s="271"/>
      <c r="O99" s="270"/>
      <c r="P99" s="272">
        <v>2.41E-2</v>
      </c>
      <c r="Q99" s="318"/>
      <c r="S99" s="258"/>
    </row>
    <row r="100" spans="1:19" ht="14.1" customHeight="1" x14ac:dyDescent="0.2">
      <c r="A100" s="282">
        <v>77</v>
      </c>
      <c r="B100" s="295" t="s">
        <v>21</v>
      </c>
      <c r="C100" s="45"/>
      <c r="D100" s="134">
        <f>'ESTIMASI  Ekspor Impor'!G100+'ESTIMASI  Ekspor Impor'!J100-'ESTIMASI  Ekspor Impor'!K100</f>
        <v>0</v>
      </c>
      <c r="E100" s="134">
        <f>'Pemakaian Dalam Negeri'!E112</f>
        <v>0</v>
      </c>
      <c r="F100" s="134">
        <f>'Pemakaian Dalam Negeri'!F112</f>
        <v>0</v>
      </c>
      <c r="G100" s="134">
        <f>'Pemakaian Dalam Negeri'!G112</f>
        <v>0</v>
      </c>
      <c r="H100" s="134">
        <f t="shared" si="3"/>
        <v>0</v>
      </c>
      <c r="I100" s="134">
        <f>'Pemakaian Dalam Negeri'!I112</f>
        <v>0</v>
      </c>
      <c r="J100" s="134">
        <f t="shared" si="4"/>
        <v>0</v>
      </c>
      <c r="K100" s="134">
        <f t="shared" si="5"/>
        <v>0</v>
      </c>
      <c r="L100" s="134"/>
      <c r="M100" s="271"/>
      <c r="N100" s="271"/>
      <c r="O100" s="270"/>
      <c r="P100" s="270">
        <v>2.41E-2</v>
      </c>
      <c r="Q100" s="318"/>
      <c r="S100" s="258"/>
    </row>
    <row r="101" spans="1:19" ht="14.1" customHeight="1" x14ac:dyDescent="0.2">
      <c r="A101" s="282">
        <v>78</v>
      </c>
      <c r="B101" s="295" t="s">
        <v>22</v>
      </c>
      <c r="C101" s="45"/>
      <c r="D101" s="134">
        <f>'ESTIMASI  Ekspor Impor'!G101+'ESTIMASI  Ekspor Impor'!J101-'ESTIMASI  Ekspor Impor'!K101</f>
        <v>0</v>
      </c>
      <c r="E101" s="134">
        <f>'Pemakaian Dalam Negeri'!E113</f>
        <v>0</v>
      </c>
      <c r="F101" s="134">
        <f>'Pemakaian Dalam Negeri'!F113</f>
        <v>0</v>
      </c>
      <c r="G101" s="134">
        <f>'Pemakaian Dalam Negeri'!G113</f>
        <v>0</v>
      </c>
      <c r="H101" s="134">
        <f t="shared" si="3"/>
        <v>0</v>
      </c>
      <c r="I101" s="134">
        <f>'Pemakaian Dalam Negeri'!I113</f>
        <v>0</v>
      </c>
      <c r="J101" s="134">
        <f t="shared" si="4"/>
        <v>0</v>
      </c>
      <c r="K101" s="134">
        <f t="shared" si="5"/>
        <v>0</v>
      </c>
      <c r="L101" s="134"/>
      <c r="M101" s="271"/>
      <c r="N101" s="269"/>
      <c r="O101" s="272"/>
      <c r="P101" s="270">
        <v>2.41E-2</v>
      </c>
      <c r="Q101" s="318"/>
      <c r="S101" s="258"/>
    </row>
    <row r="102" spans="1:19" ht="14.1" customHeight="1" x14ac:dyDescent="0.2">
      <c r="A102" s="282">
        <v>79</v>
      </c>
      <c r="B102" s="295" t="s">
        <v>470</v>
      </c>
      <c r="C102" s="45"/>
      <c r="D102" s="134">
        <f>'ESTIMASI  Ekspor Impor'!G102+'ESTIMASI  Ekspor Impor'!J102-'ESTIMASI  Ekspor Impor'!K102</f>
        <v>0</v>
      </c>
      <c r="E102" s="134">
        <f>'Pemakaian Dalam Negeri'!E114</f>
        <v>0</v>
      </c>
      <c r="F102" s="134">
        <f>'Pemakaian Dalam Negeri'!F114</f>
        <v>0</v>
      </c>
      <c r="G102" s="134">
        <f>'Pemakaian Dalam Negeri'!G114</f>
        <v>0</v>
      </c>
      <c r="H102" s="134">
        <f t="shared" si="3"/>
        <v>0</v>
      </c>
      <c r="I102" s="134">
        <f>'Pemakaian Dalam Negeri'!I114</f>
        <v>0</v>
      </c>
      <c r="J102" s="134">
        <f t="shared" si="4"/>
        <v>0</v>
      </c>
      <c r="K102" s="134">
        <f t="shared" si="5"/>
        <v>0</v>
      </c>
      <c r="L102" s="134"/>
      <c r="M102" s="271"/>
      <c r="N102" s="269"/>
      <c r="O102" s="272"/>
      <c r="P102" s="270">
        <v>2.41E-2</v>
      </c>
      <c r="Q102" s="318"/>
      <c r="S102" s="258"/>
    </row>
    <row r="103" spans="1:19" ht="14.1" customHeight="1" x14ac:dyDescent="0.2">
      <c r="A103" s="282">
        <v>80</v>
      </c>
      <c r="B103" s="295" t="s">
        <v>471</v>
      </c>
      <c r="C103" s="45"/>
      <c r="D103" s="134">
        <f>'ESTIMASI  Ekspor Impor'!G103+'ESTIMASI  Ekspor Impor'!J103-'ESTIMASI  Ekspor Impor'!K103</f>
        <v>0</v>
      </c>
      <c r="E103" s="134">
        <f>'Pemakaian Dalam Negeri'!E115</f>
        <v>0</v>
      </c>
      <c r="F103" s="134">
        <f>'Pemakaian Dalam Negeri'!F115</f>
        <v>0</v>
      </c>
      <c r="G103" s="134">
        <f>'Pemakaian Dalam Negeri'!G115</f>
        <v>0</v>
      </c>
      <c r="H103" s="134">
        <f t="shared" si="3"/>
        <v>0</v>
      </c>
      <c r="I103" s="134">
        <f>'Pemakaian Dalam Negeri'!I115</f>
        <v>0</v>
      </c>
      <c r="J103" s="134">
        <f t="shared" si="4"/>
        <v>0</v>
      </c>
      <c r="K103" s="134">
        <f t="shared" si="5"/>
        <v>0</v>
      </c>
      <c r="L103" s="134"/>
      <c r="M103" s="271"/>
      <c r="N103" s="269"/>
      <c r="O103" s="272"/>
      <c r="P103" s="270">
        <v>2.41E-2</v>
      </c>
      <c r="Q103" s="318"/>
      <c r="S103" s="258"/>
    </row>
    <row r="104" spans="1:19" ht="14.1" customHeight="1" x14ac:dyDescent="0.2">
      <c r="A104" s="282">
        <v>81</v>
      </c>
      <c r="B104" s="295" t="s">
        <v>472</v>
      </c>
      <c r="C104" s="45"/>
      <c r="D104" s="134">
        <f>'ESTIMASI  Ekspor Impor'!G104+'ESTIMASI  Ekspor Impor'!J104-'ESTIMASI  Ekspor Impor'!K104</f>
        <v>500</v>
      </c>
      <c r="E104" s="134">
        <f>'Pemakaian Dalam Negeri'!E116</f>
        <v>0</v>
      </c>
      <c r="F104" s="134">
        <f>'Pemakaian Dalam Negeri'!F116</f>
        <v>0</v>
      </c>
      <c r="G104" s="134">
        <f>'Pemakaian Dalam Negeri'!G116</f>
        <v>0</v>
      </c>
      <c r="H104" s="134">
        <f t="shared" si="3"/>
        <v>12.05</v>
      </c>
      <c r="I104" s="134">
        <f>'Pemakaian Dalam Negeri'!I116</f>
        <v>0</v>
      </c>
      <c r="J104" s="134">
        <f t="shared" si="4"/>
        <v>487.95</v>
      </c>
      <c r="K104" s="134">
        <f t="shared" si="5"/>
        <v>500</v>
      </c>
      <c r="L104" s="134"/>
      <c r="M104" s="269"/>
      <c r="N104" s="269"/>
      <c r="O104" s="272"/>
      <c r="P104" s="270">
        <v>2.41E-2</v>
      </c>
      <c r="Q104" s="318"/>
      <c r="S104" s="258"/>
    </row>
    <row r="105" spans="1:19" s="52" customFormat="1" ht="14.1" customHeight="1" x14ac:dyDescent="0.2">
      <c r="A105" s="282">
        <v>82</v>
      </c>
      <c r="B105" s="295" t="s">
        <v>473</v>
      </c>
      <c r="C105" s="45"/>
      <c r="D105" s="134">
        <f>'ESTIMASI  Ekspor Impor'!G105+'ESTIMASI  Ekspor Impor'!J105-'ESTIMASI  Ekspor Impor'!K105</f>
        <v>0</v>
      </c>
      <c r="E105" s="134">
        <f>'Pemakaian Dalam Negeri'!E117</f>
        <v>0</v>
      </c>
      <c r="F105" s="134">
        <f>D105*N105</f>
        <v>0</v>
      </c>
      <c r="G105" s="134">
        <f>'Pemakaian Dalam Negeri'!G117</f>
        <v>0</v>
      </c>
      <c r="H105" s="134">
        <f t="shared" si="3"/>
        <v>0</v>
      </c>
      <c r="I105" s="134">
        <f>'Pemakaian Dalam Negeri'!I117</f>
        <v>0</v>
      </c>
      <c r="J105" s="134">
        <f t="shared" si="4"/>
        <v>0</v>
      </c>
      <c r="K105" s="134">
        <f t="shared" si="5"/>
        <v>0</v>
      </c>
      <c r="L105" s="134"/>
      <c r="M105" s="269"/>
      <c r="N105" s="269">
        <v>6.4000000000000003E-3</v>
      </c>
      <c r="O105" s="273"/>
      <c r="P105" s="273">
        <v>1.77E-2</v>
      </c>
      <c r="Q105" s="318"/>
      <c r="R105" s="540"/>
      <c r="S105" s="258"/>
    </row>
    <row r="106" spans="1:19" ht="14.1" customHeight="1" x14ac:dyDescent="0.2">
      <c r="A106" s="282">
        <v>83</v>
      </c>
      <c r="B106" s="295" t="s">
        <v>23</v>
      </c>
      <c r="C106" s="45"/>
      <c r="D106" s="134">
        <f>'ESTIMASI  Ekspor Impor'!G106+'ESTIMASI  Ekspor Impor'!J106-'ESTIMASI  Ekspor Impor'!K106</f>
        <v>0</v>
      </c>
      <c r="E106" s="134">
        <f>'Pemakaian Dalam Negeri'!E118</f>
        <v>0</v>
      </c>
      <c r="F106" s="134">
        <f>'Pemakaian Dalam Negeri'!F118</f>
        <v>0</v>
      </c>
      <c r="G106" s="134">
        <f>'Pemakaian Dalam Negeri'!G118</f>
        <v>0</v>
      </c>
      <c r="H106" s="134">
        <f t="shared" si="3"/>
        <v>0</v>
      </c>
      <c r="I106" s="134">
        <f>'Pemakaian Dalam Negeri'!I118</f>
        <v>0</v>
      </c>
      <c r="J106" s="134">
        <f t="shared" si="4"/>
        <v>0</v>
      </c>
      <c r="K106" s="134">
        <f t="shared" si="5"/>
        <v>0</v>
      </c>
      <c r="L106" s="134"/>
      <c r="M106" s="269"/>
      <c r="N106" s="269"/>
      <c r="O106" s="272"/>
      <c r="P106" s="270">
        <v>2.41E-2</v>
      </c>
      <c r="Q106" s="318"/>
      <c r="S106" s="258"/>
    </row>
    <row r="107" spans="1:19" ht="14.1" customHeight="1" x14ac:dyDescent="0.2">
      <c r="A107" s="282">
        <v>84</v>
      </c>
      <c r="B107" s="295" t="s">
        <v>24</v>
      </c>
      <c r="C107" s="45"/>
      <c r="D107" s="134">
        <f>'ESTIMASI  Ekspor Impor'!G107+'ESTIMASI  Ekspor Impor'!J107-'ESTIMASI  Ekspor Impor'!K107</f>
        <v>0</v>
      </c>
      <c r="E107" s="134">
        <f>'Pemakaian Dalam Negeri'!E119</f>
        <v>0</v>
      </c>
      <c r="F107" s="134">
        <f>'Pemakaian Dalam Negeri'!F119</f>
        <v>0</v>
      </c>
      <c r="G107" s="134">
        <f>'Pemakaian Dalam Negeri'!G119</f>
        <v>0</v>
      </c>
      <c r="H107" s="134">
        <f t="shared" si="3"/>
        <v>0</v>
      </c>
      <c r="I107" s="134">
        <f>'Pemakaian Dalam Negeri'!I119</f>
        <v>0</v>
      </c>
      <c r="J107" s="134">
        <f t="shared" si="4"/>
        <v>0</v>
      </c>
      <c r="K107" s="134">
        <f t="shared" si="5"/>
        <v>0</v>
      </c>
      <c r="L107" s="134"/>
      <c r="M107" s="269"/>
      <c r="N107" s="269"/>
      <c r="O107" s="272"/>
      <c r="P107" s="270">
        <v>2.41E-2</v>
      </c>
      <c r="Q107" s="318"/>
      <c r="S107" s="258"/>
    </row>
    <row r="108" spans="1:19" ht="14.1" customHeight="1" x14ac:dyDescent="0.2">
      <c r="A108" s="282">
        <v>85</v>
      </c>
      <c r="B108" s="295" t="s">
        <v>25</v>
      </c>
      <c r="C108" s="45"/>
      <c r="D108" s="134">
        <f>'ESTIMASI  Ekspor Impor'!G108+'ESTIMASI  Ekspor Impor'!J108-'ESTIMASI  Ekspor Impor'!K108</f>
        <v>0</v>
      </c>
      <c r="E108" s="134">
        <f>'Pemakaian Dalam Negeri'!E120</f>
        <v>0</v>
      </c>
      <c r="F108" s="134">
        <f>'Pemakaian Dalam Negeri'!F120</f>
        <v>0</v>
      </c>
      <c r="G108" s="134">
        <f>'Pemakaian Dalam Negeri'!G120</f>
        <v>0</v>
      </c>
      <c r="H108" s="134">
        <f t="shared" si="3"/>
        <v>0</v>
      </c>
      <c r="I108" s="134">
        <f>'Pemakaian Dalam Negeri'!I120</f>
        <v>0</v>
      </c>
      <c r="J108" s="134">
        <f t="shared" si="4"/>
        <v>0</v>
      </c>
      <c r="K108" s="134">
        <f t="shared" si="5"/>
        <v>0</v>
      </c>
      <c r="L108" s="134"/>
      <c r="M108" s="269"/>
      <c r="N108" s="269"/>
      <c r="O108" s="272"/>
      <c r="P108" s="270">
        <v>2.41E-2</v>
      </c>
      <c r="Q108" s="318"/>
      <c r="S108" s="258"/>
    </row>
    <row r="109" spans="1:19" ht="14.1" customHeight="1" x14ac:dyDescent="0.2">
      <c r="A109" s="282">
        <v>86</v>
      </c>
      <c r="B109" s="295" t="s">
        <v>26</v>
      </c>
      <c r="C109" s="45"/>
      <c r="D109" s="134">
        <f>'ESTIMASI  Ekspor Impor'!G109+'ESTIMASI  Ekspor Impor'!J109-'ESTIMASI  Ekspor Impor'!K109</f>
        <v>0</v>
      </c>
      <c r="E109" s="134">
        <f>'Pemakaian Dalam Negeri'!E121</f>
        <v>0</v>
      </c>
      <c r="F109" s="134">
        <f>'Pemakaian Dalam Negeri'!F121</f>
        <v>0</v>
      </c>
      <c r="G109" s="134">
        <f>'Pemakaian Dalam Negeri'!G121</f>
        <v>0</v>
      </c>
      <c r="H109" s="134">
        <f t="shared" si="3"/>
        <v>0</v>
      </c>
      <c r="I109" s="134">
        <f>'Pemakaian Dalam Negeri'!I121</f>
        <v>0</v>
      </c>
      <c r="J109" s="134">
        <f t="shared" si="4"/>
        <v>0</v>
      </c>
      <c r="K109" s="134">
        <f t="shared" si="5"/>
        <v>0</v>
      </c>
      <c r="L109" s="134"/>
      <c r="M109" s="269"/>
      <c r="N109" s="271"/>
      <c r="O109" s="270"/>
      <c r="P109" s="270">
        <v>2.41E-2</v>
      </c>
      <c r="Q109" s="318"/>
      <c r="S109" s="258"/>
    </row>
    <row r="110" spans="1:19" ht="14.1" customHeight="1" x14ac:dyDescent="0.2">
      <c r="A110" s="282">
        <v>87</v>
      </c>
      <c r="B110" s="288" t="s">
        <v>173</v>
      </c>
      <c r="C110" s="45"/>
      <c r="D110" s="134">
        <f>'ESTIMASI  Ekspor Impor'!G110+'ESTIMASI  Ekspor Impor'!J110-'ESTIMASI  Ekspor Impor'!K110</f>
        <v>0</v>
      </c>
      <c r="E110" s="134">
        <f>'Pemakaian Dalam Negeri'!E122</f>
        <v>0</v>
      </c>
      <c r="F110" s="134">
        <f>'Pemakaian Dalam Negeri'!F122</f>
        <v>0</v>
      </c>
      <c r="G110" s="134">
        <f>'Pemakaian Dalam Negeri'!G122</f>
        <v>0</v>
      </c>
      <c r="H110" s="134">
        <f t="shared" si="3"/>
        <v>0</v>
      </c>
      <c r="I110" s="134">
        <f>'Pemakaian Dalam Negeri'!I122</f>
        <v>0</v>
      </c>
      <c r="J110" s="134">
        <f t="shared" si="4"/>
        <v>0</v>
      </c>
      <c r="K110" s="134">
        <f t="shared" si="5"/>
        <v>0</v>
      </c>
      <c r="L110" s="134"/>
      <c r="M110" s="269"/>
      <c r="N110" s="271"/>
      <c r="O110" s="270"/>
      <c r="P110" s="270">
        <v>2.41E-2</v>
      </c>
      <c r="Q110" s="318"/>
      <c r="S110" s="258"/>
    </row>
    <row r="111" spans="1:19" ht="14.1" customHeight="1" x14ac:dyDescent="0.2">
      <c r="A111" s="282"/>
      <c r="B111" s="288"/>
      <c r="C111" s="282"/>
      <c r="D111" s="134"/>
      <c r="E111" s="134"/>
      <c r="F111" s="134"/>
      <c r="G111" s="134"/>
      <c r="H111" s="134"/>
      <c r="I111" s="134"/>
      <c r="J111" s="134"/>
      <c r="K111" s="134"/>
      <c r="L111" s="405"/>
      <c r="M111" s="406"/>
      <c r="N111" s="406"/>
      <c r="O111" s="407"/>
      <c r="P111" s="407"/>
      <c r="Q111" s="408"/>
      <c r="S111" s="258"/>
    </row>
    <row r="112" spans="1:19" ht="14.1" customHeight="1" x14ac:dyDescent="0.2">
      <c r="A112" s="295" t="s">
        <v>116</v>
      </c>
      <c r="B112" s="295"/>
      <c r="C112" s="282"/>
      <c r="D112" s="134"/>
      <c r="E112" s="134"/>
      <c r="F112" s="134"/>
      <c r="G112" s="134"/>
      <c r="H112" s="134"/>
      <c r="I112" s="134"/>
      <c r="J112" s="134"/>
      <c r="K112" s="134"/>
      <c r="L112" s="405"/>
      <c r="M112" s="406"/>
      <c r="N112" s="406"/>
      <c r="O112" s="407"/>
      <c r="P112" s="407"/>
      <c r="Q112" s="408"/>
      <c r="S112" s="258"/>
    </row>
    <row r="113" spans="1:19" ht="14.1" customHeight="1" x14ac:dyDescent="0.2">
      <c r="A113" s="297">
        <v>88</v>
      </c>
      <c r="B113" s="288" t="s">
        <v>474</v>
      </c>
      <c r="C113" s="45"/>
      <c r="D113" s="134">
        <f>'ESTIMASI  Ekspor Impor'!G113+'ESTIMASI  Ekspor Impor'!J113-'ESTIMASI  Ekspor Impor'!K113</f>
        <v>1795.0047144740035</v>
      </c>
      <c r="E113" s="134">
        <f>'Pemakaian Dalam Negeri'!E125</f>
        <v>0</v>
      </c>
      <c r="F113" s="134">
        <f>'Pemakaian Dalam Negeri'!F125</f>
        <v>0</v>
      </c>
      <c r="G113" s="134">
        <f>'Pemakaian Dalam Negeri'!G125</f>
        <v>0</v>
      </c>
      <c r="H113" s="134">
        <f t="shared" ref="H113:H123" si="7">D113*P113</f>
        <v>1.4360037715792029</v>
      </c>
      <c r="I113" s="134">
        <f>'Pemakaian Dalam Negeri'!I125</f>
        <v>0</v>
      </c>
      <c r="J113" s="134">
        <f t="shared" ref="J113:J123" si="8">D113-E113-F113-G113-H113-I113</f>
        <v>1793.5687107024244</v>
      </c>
      <c r="K113" s="134">
        <f t="shared" ref="K113:K123" si="9">E113+F113+G113+H113+I113+J113</f>
        <v>1795.0047144740035</v>
      </c>
      <c r="L113" s="134"/>
      <c r="M113" s="271"/>
      <c r="N113" s="271"/>
      <c r="O113" s="270"/>
      <c r="P113" s="270">
        <v>8.0000000000000004E-4</v>
      </c>
      <c r="Q113" s="318"/>
      <c r="S113" s="258"/>
    </row>
    <row r="114" spans="1:19" ht="14.1" customHeight="1" x14ac:dyDescent="0.2">
      <c r="A114" s="297">
        <v>89</v>
      </c>
      <c r="B114" s="288" t="s">
        <v>475</v>
      </c>
      <c r="C114" s="45"/>
      <c r="D114" s="134">
        <f>'ESTIMASI  Ekspor Impor'!G114+'ESTIMASI  Ekspor Impor'!J114-'ESTIMASI  Ekspor Impor'!K114</f>
        <v>288.70531953751254</v>
      </c>
      <c r="E114" s="134">
        <f>'Pemakaian Dalam Negeri'!E126</f>
        <v>0</v>
      </c>
      <c r="F114" s="134">
        <f>'Pemakaian Dalam Negeri'!F126</f>
        <v>0</v>
      </c>
      <c r="G114" s="134">
        <f>'Pemakaian Dalam Negeri'!G126</f>
        <v>0</v>
      </c>
      <c r="H114" s="134">
        <f t="shared" si="7"/>
        <v>0.23096425563001005</v>
      </c>
      <c r="I114" s="134">
        <f>'Pemakaian Dalam Negeri'!I126</f>
        <v>0</v>
      </c>
      <c r="J114" s="134">
        <f t="shared" si="8"/>
        <v>288.47435528188254</v>
      </c>
      <c r="K114" s="134">
        <f t="shared" si="9"/>
        <v>288.70531953751254</v>
      </c>
      <c r="L114" s="134"/>
      <c r="M114" s="271"/>
      <c r="N114" s="271"/>
      <c r="O114" s="270"/>
      <c r="P114" s="270">
        <v>8.0000000000000004E-4</v>
      </c>
      <c r="Q114" s="318"/>
      <c r="S114" s="258"/>
    </row>
    <row r="115" spans="1:19" ht="14.1" customHeight="1" x14ac:dyDescent="0.2">
      <c r="A115" s="297">
        <v>90</v>
      </c>
      <c r="B115" s="288" t="s">
        <v>476</v>
      </c>
      <c r="C115" s="45"/>
      <c r="D115" s="134">
        <f>'ESTIMASI  Ekspor Impor'!G115+'ESTIMASI  Ekspor Impor'!J115-'ESTIMASI  Ekspor Impor'!K115</f>
        <v>43.426272003714594</v>
      </c>
      <c r="E115" s="134">
        <f>'Pemakaian Dalam Negeri'!E127</f>
        <v>0</v>
      </c>
      <c r="F115" s="134">
        <f>'Pemakaian Dalam Negeri'!F127</f>
        <v>0</v>
      </c>
      <c r="G115" s="134">
        <f>'Pemakaian Dalam Negeri'!G127</f>
        <v>0</v>
      </c>
      <c r="H115" s="134">
        <f t="shared" si="7"/>
        <v>3.4741017602971679E-2</v>
      </c>
      <c r="I115" s="134">
        <f>'Pemakaian Dalam Negeri'!I127</f>
        <v>0</v>
      </c>
      <c r="J115" s="134">
        <f t="shared" si="8"/>
        <v>43.391530986111626</v>
      </c>
      <c r="K115" s="134">
        <f t="shared" si="9"/>
        <v>43.426272003714594</v>
      </c>
      <c r="L115" s="134"/>
      <c r="M115" s="271"/>
      <c r="N115" s="271"/>
      <c r="O115" s="270"/>
      <c r="P115" s="272">
        <v>8.0000000000000004E-4</v>
      </c>
      <c r="Q115" s="318"/>
      <c r="S115" s="258"/>
    </row>
    <row r="116" spans="1:19" ht="14.1" customHeight="1" x14ac:dyDescent="0.2">
      <c r="A116" s="297">
        <v>91</v>
      </c>
      <c r="B116" s="288" t="s">
        <v>477</v>
      </c>
      <c r="C116" s="45"/>
      <c r="D116" s="134">
        <f>'ESTIMASI  Ekspor Impor'!G116+'ESTIMASI  Ekspor Impor'!J116-'ESTIMASI  Ekspor Impor'!K116</f>
        <v>0</v>
      </c>
      <c r="E116" s="134">
        <f>'Pemakaian Dalam Negeri'!E128</f>
        <v>0</v>
      </c>
      <c r="F116" s="134">
        <f>'Pemakaian Dalam Negeri'!F128</f>
        <v>0</v>
      </c>
      <c r="G116" s="134">
        <f>'Pemakaian Dalam Negeri'!G128</f>
        <v>0</v>
      </c>
      <c r="H116" s="134">
        <f t="shared" si="7"/>
        <v>0</v>
      </c>
      <c r="I116" s="134">
        <f>'Pemakaian Dalam Negeri'!I128</f>
        <v>0</v>
      </c>
      <c r="J116" s="134">
        <f t="shared" si="8"/>
        <v>0</v>
      </c>
      <c r="K116" s="134">
        <f t="shared" si="9"/>
        <v>0</v>
      </c>
      <c r="L116" s="134"/>
      <c r="M116" s="271"/>
      <c r="N116" s="271"/>
      <c r="O116" s="270"/>
      <c r="P116" s="272">
        <v>8.0000000000000004E-4</v>
      </c>
      <c r="Q116" s="318"/>
      <c r="S116" s="258"/>
    </row>
    <row r="117" spans="1:19" ht="14.1" customHeight="1" x14ac:dyDescent="0.2">
      <c r="A117" s="297">
        <v>92</v>
      </c>
      <c r="B117" s="288" t="s">
        <v>478</v>
      </c>
      <c r="C117" s="45"/>
      <c r="D117" s="134">
        <f>'ESTIMASI  Ekspor Impor'!G117+'ESTIMASI  Ekspor Impor'!J117-'ESTIMASI  Ekspor Impor'!K117</f>
        <v>0</v>
      </c>
      <c r="E117" s="134">
        <f>'Pemakaian Dalam Negeri'!E129</f>
        <v>0</v>
      </c>
      <c r="F117" s="134">
        <f>'Pemakaian Dalam Negeri'!F129</f>
        <v>0</v>
      </c>
      <c r="G117" s="134">
        <f>'Pemakaian Dalam Negeri'!G129</f>
        <v>0</v>
      </c>
      <c r="H117" s="134">
        <f t="shared" si="7"/>
        <v>0</v>
      </c>
      <c r="I117" s="134">
        <f>'Pemakaian Dalam Negeri'!I129</f>
        <v>0</v>
      </c>
      <c r="J117" s="134">
        <f t="shared" si="8"/>
        <v>0</v>
      </c>
      <c r="K117" s="134">
        <f t="shared" si="9"/>
        <v>0</v>
      </c>
      <c r="L117" s="134"/>
      <c r="M117" s="271"/>
      <c r="N117" s="271"/>
      <c r="O117" s="270"/>
      <c r="P117" s="272">
        <v>8.0000000000000004E-4</v>
      </c>
      <c r="Q117" s="318"/>
      <c r="S117" s="258"/>
    </row>
    <row r="118" spans="1:19" ht="14.1" customHeight="1" x14ac:dyDescent="0.2">
      <c r="A118" s="297">
        <v>93</v>
      </c>
      <c r="B118" s="288" t="s">
        <v>479</v>
      </c>
      <c r="C118" s="45"/>
      <c r="D118" s="134">
        <f>'ESTIMASI  Ekspor Impor'!G118+'ESTIMASI  Ekspor Impor'!J118-'ESTIMASI  Ekspor Impor'!K118</f>
        <v>0</v>
      </c>
      <c r="E118" s="134">
        <f>'Pemakaian Dalam Negeri'!E130</f>
        <v>0</v>
      </c>
      <c r="F118" s="134">
        <f>'Pemakaian Dalam Negeri'!F130</f>
        <v>0</v>
      </c>
      <c r="G118" s="134">
        <f>'Pemakaian Dalam Negeri'!G130</f>
        <v>0</v>
      </c>
      <c r="H118" s="134">
        <f t="shared" si="7"/>
        <v>0</v>
      </c>
      <c r="I118" s="134">
        <f>'Pemakaian Dalam Negeri'!I130</f>
        <v>0</v>
      </c>
      <c r="J118" s="134">
        <f t="shared" si="8"/>
        <v>0</v>
      </c>
      <c r="K118" s="134">
        <f t="shared" si="9"/>
        <v>0</v>
      </c>
      <c r="L118" s="134"/>
      <c r="M118" s="271"/>
      <c r="N118" s="269"/>
      <c r="O118" s="272"/>
      <c r="P118" s="270">
        <v>8.0000000000000004E-4</v>
      </c>
      <c r="Q118" s="318"/>
      <c r="S118" s="258"/>
    </row>
    <row r="119" spans="1:19" ht="14.1" customHeight="1" x14ac:dyDescent="0.2">
      <c r="A119" s="297">
        <v>94</v>
      </c>
      <c r="B119" s="288" t="s">
        <v>480</v>
      </c>
      <c r="C119" s="45"/>
      <c r="D119" s="134">
        <f>'ESTIMASI  Ekspor Impor'!G119+'ESTIMASI  Ekspor Impor'!J119-'ESTIMASI  Ekspor Impor'!K119</f>
        <v>1718.5047229721999</v>
      </c>
      <c r="E119" s="134">
        <f>'Pemakaian Dalam Negeri'!E131</f>
        <v>0</v>
      </c>
      <c r="F119" s="134">
        <f>'Pemakaian Dalam Negeri'!F131</f>
        <v>0</v>
      </c>
      <c r="G119" s="134">
        <f>'Pemakaian Dalam Negeri'!G131</f>
        <v>0</v>
      </c>
      <c r="H119" s="134">
        <f t="shared" si="7"/>
        <v>1.37480377837776</v>
      </c>
      <c r="I119" s="134">
        <f>'Pemakaian Dalam Negeri'!I131</f>
        <v>0</v>
      </c>
      <c r="J119" s="134">
        <f t="shared" si="8"/>
        <v>1717.1299191938222</v>
      </c>
      <c r="K119" s="134">
        <f t="shared" si="9"/>
        <v>1718.5047229721999</v>
      </c>
      <c r="L119" s="134"/>
      <c r="M119" s="271"/>
      <c r="N119" s="269"/>
      <c r="O119" s="272"/>
      <c r="P119" s="270">
        <v>8.0000000000000004E-4</v>
      </c>
      <c r="Q119" s="318"/>
      <c r="S119" s="258"/>
    </row>
    <row r="120" spans="1:19" ht="14.1" customHeight="1" x14ac:dyDescent="0.2">
      <c r="A120" s="297">
        <v>95</v>
      </c>
      <c r="B120" s="288" t="s">
        <v>598</v>
      </c>
      <c r="C120" s="45"/>
      <c r="D120" s="134">
        <f>'ESTIMASI  Ekspor Impor'!G120+'ESTIMASI  Ekspor Impor'!J120-'ESTIMASI  Ekspor Impor'!K120</f>
        <v>8238.8856675648458</v>
      </c>
      <c r="E120" s="134">
        <f>'Pemakaian Dalam Negeri'!E132</f>
        <v>0</v>
      </c>
      <c r="F120" s="134">
        <f>'Pemakaian Dalam Negeri'!F132</f>
        <v>0</v>
      </c>
      <c r="G120" s="134">
        <f>'Pemakaian Dalam Negeri'!G132</f>
        <v>0</v>
      </c>
      <c r="H120" s="134">
        <f t="shared" si="7"/>
        <v>6.5911085340518767</v>
      </c>
      <c r="I120" s="134">
        <f>'Pemakaian Dalam Negeri'!I132</f>
        <v>0</v>
      </c>
      <c r="J120" s="134">
        <f t="shared" si="8"/>
        <v>8232.2945590307936</v>
      </c>
      <c r="K120" s="134">
        <f t="shared" si="9"/>
        <v>8238.8856675648458</v>
      </c>
      <c r="L120" s="134"/>
      <c r="M120" s="271"/>
      <c r="N120" s="269"/>
      <c r="O120" s="270"/>
      <c r="P120" s="270">
        <v>8.0000000000000004E-4</v>
      </c>
      <c r="Q120" s="318"/>
      <c r="S120" s="258"/>
    </row>
    <row r="121" spans="1:19" ht="14.1" customHeight="1" x14ac:dyDescent="0.2">
      <c r="A121" s="297">
        <v>96</v>
      </c>
      <c r="B121" s="288" t="s">
        <v>481</v>
      </c>
      <c r="C121" s="45"/>
      <c r="D121" s="134">
        <f>'ESTIMASI  Ekspor Impor'!G121+'ESTIMASI  Ekspor Impor'!J121-'ESTIMASI  Ekspor Impor'!K121</f>
        <v>560.16115008265001</v>
      </c>
      <c r="E121" s="134">
        <f>'Pemakaian Dalam Negeri'!E133</f>
        <v>0</v>
      </c>
      <c r="F121" s="134">
        <f>'Pemakaian Dalam Negeri'!F133</f>
        <v>0</v>
      </c>
      <c r="G121" s="134">
        <f>'Pemakaian Dalam Negeri'!G133</f>
        <v>0</v>
      </c>
      <c r="H121" s="134">
        <f t="shared" si="7"/>
        <v>0.44812892006612004</v>
      </c>
      <c r="I121" s="134">
        <f>'Pemakaian Dalam Negeri'!I133</f>
        <v>0</v>
      </c>
      <c r="J121" s="134">
        <f t="shared" si="8"/>
        <v>559.71302116258391</v>
      </c>
      <c r="K121" s="134">
        <f t="shared" si="9"/>
        <v>560.16115008265001</v>
      </c>
      <c r="L121" s="134"/>
      <c r="M121" s="269"/>
      <c r="N121" s="271"/>
      <c r="O121" s="270"/>
      <c r="P121" s="270">
        <v>8.0000000000000004E-4</v>
      </c>
      <c r="Q121" s="319"/>
      <c r="S121" s="258"/>
    </row>
    <row r="122" spans="1:19" ht="14.1" customHeight="1" x14ac:dyDescent="0.2">
      <c r="A122" s="297">
        <v>97</v>
      </c>
      <c r="B122" s="288" t="s">
        <v>482</v>
      </c>
      <c r="C122" s="45"/>
      <c r="D122" s="134">
        <f>'ESTIMASI  Ekspor Impor'!G122+'ESTIMASI  Ekspor Impor'!J122-'ESTIMASI  Ekspor Impor'!K122</f>
        <v>6.8619012000000001</v>
      </c>
      <c r="E122" s="134">
        <f>'Pemakaian Dalam Negeri'!E134</f>
        <v>0</v>
      </c>
      <c r="F122" s="134">
        <f>'Pemakaian Dalam Negeri'!F134</f>
        <v>0</v>
      </c>
      <c r="G122" s="134">
        <f>'Pemakaian Dalam Negeri'!G134</f>
        <v>0</v>
      </c>
      <c r="H122" s="134">
        <f t="shared" si="7"/>
        <v>5.48952096E-3</v>
      </c>
      <c r="I122" s="134">
        <f>'Pemakaian Dalam Negeri'!I134</f>
        <v>0</v>
      </c>
      <c r="J122" s="134">
        <f t="shared" si="8"/>
        <v>6.8564116790399998</v>
      </c>
      <c r="K122" s="134">
        <f t="shared" si="9"/>
        <v>6.8619012000000001</v>
      </c>
      <c r="L122" s="134"/>
      <c r="M122" s="269"/>
      <c r="N122" s="269"/>
      <c r="O122" s="270"/>
      <c r="P122" s="270">
        <v>8.0000000000000004E-4</v>
      </c>
      <c r="Q122" s="318"/>
      <c r="S122" s="258"/>
    </row>
    <row r="123" spans="1:19" ht="14.1" customHeight="1" x14ac:dyDescent="0.2">
      <c r="A123" s="297">
        <v>98</v>
      </c>
      <c r="B123" s="288" t="s">
        <v>483</v>
      </c>
      <c r="C123" s="45"/>
      <c r="D123" s="134">
        <f>'ESTIMASI  Ekspor Impor'!G123+'ESTIMASI  Ekspor Impor'!J123-'ESTIMASI  Ekspor Impor'!K123</f>
        <v>844.71164549075263</v>
      </c>
      <c r="E123" s="134">
        <f>'Pemakaian Dalam Negeri'!E135</f>
        <v>0</v>
      </c>
      <c r="F123" s="134">
        <f>'Pemakaian Dalam Negeri'!F135</f>
        <v>0</v>
      </c>
      <c r="G123" s="134">
        <f>'Pemakaian Dalam Negeri'!G135</f>
        <v>0</v>
      </c>
      <c r="H123" s="134">
        <f t="shared" si="7"/>
        <v>0.67576931639260218</v>
      </c>
      <c r="I123" s="134">
        <f>'Pemakaian Dalam Negeri'!I135</f>
        <v>0</v>
      </c>
      <c r="J123" s="134">
        <f t="shared" si="8"/>
        <v>844.03587617436006</v>
      </c>
      <c r="K123" s="134">
        <f t="shared" si="9"/>
        <v>844.71164549075263</v>
      </c>
      <c r="L123" s="134"/>
      <c r="M123" s="269"/>
      <c r="N123" s="269"/>
      <c r="O123" s="270"/>
      <c r="P123" s="270">
        <v>8.0000000000000004E-4</v>
      </c>
      <c r="Q123" s="318"/>
      <c r="S123" s="258"/>
    </row>
    <row r="124" spans="1:19" ht="14.1" customHeight="1" x14ac:dyDescent="0.2">
      <c r="A124" s="298"/>
      <c r="B124" s="325"/>
      <c r="C124" s="282"/>
      <c r="D124" s="134"/>
      <c r="E124" s="134"/>
      <c r="F124" s="134"/>
      <c r="G124" s="134"/>
      <c r="H124" s="134"/>
      <c r="I124" s="134"/>
      <c r="J124" s="134"/>
      <c r="K124" s="134"/>
      <c r="L124" s="405"/>
      <c r="M124" s="406"/>
      <c r="N124" s="409"/>
      <c r="O124" s="407"/>
      <c r="P124" s="410"/>
      <c r="Q124" s="408"/>
      <c r="R124" s="580"/>
      <c r="S124" s="258"/>
    </row>
    <row r="125" spans="1:19" ht="14.1" customHeight="1" x14ac:dyDescent="0.2">
      <c r="A125" s="288" t="s">
        <v>128</v>
      </c>
      <c r="B125" s="288"/>
      <c r="C125" s="282"/>
      <c r="D125" s="134"/>
      <c r="E125" s="134"/>
      <c r="F125" s="134"/>
      <c r="G125" s="134"/>
      <c r="H125" s="134"/>
      <c r="I125" s="134"/>
      <c r="J125" s="134"/>
      <c r="K125" s="134"/>
      <c r="L125" s="405"/>
      <c r="M125" s="406"/>
      <c r="N125" s="406"/>
      <c r="O125" s="407"/>
      <c r="P125" s="410"/>
      <c r="Q125" s="408"/>
      <c r="R125" s="580"/>
      <c r="S125" s="258"/>
    </row>
    <row r="126" spans="1:19" ht="14.1" customHeight="1" x14ac:dyDescent="0.2">
      <c r="A126" s="282">
        <v>99</v>
      </c>
      <c r="B126" s="291" t="s">
        <v>484</v>
      </c>
      <c r="C126" s="45"/>
      <c r="D126" s="134">
        <f>'ESTIMASI  Ekspor Impor'!G126+'ESTIMASI  Ekspor Impor'!J126-'ESTIMASI  Ekspor Impor'!K126</f>
        <v>981.24472141374997</v>
      </c>
      <c r="E126" s="134">
        <f>'Pemakaian Dalam Negeri'!E138</f>
        <v>0</v>
      </c>
      <c r="F126" s="134">
        <f>D126*N126</f>
        <v>245.31118035343749</v>
      </c>
      <c r="G126" s="134">
        <f>'Pemakaian Dalam Negeri'!G138</f>
        <v>0</v>
      </c>
      <c r="H126" s="134">
        <f>D126*P126</f>
        <v>37.876046246570752</v>
      </c>
      <c r="I126" s="134">
        <f>'Pemakaian Dalam Negeri'!I138</f>
        <v>0</v>
      </c>
      <c r="J126" s="134">
        <f>D126-E126-F126-G126-H126-I126</f>
        <v>698.05749481374164</v>
      </c>
      <c r="K126" s="134">
        <f>E126+F126+G126+H126+I126+J126</f>
        <v>981.24472141374986</v>
      </c>
      <c r="L126" s="134"/>
      <c r="M126" s="271"/>
      <c r="N126" s="271">
        <v>0.25</v>
      </c>
      <c r="O126" s="270"/>
      <c r="P126" s="270">
        <v>3.8600000000000002E-2</v>
      </c>
      <c r="Q126" s="318"/>
      <c r="S126" s="258"/>
    </row>
    <row r="127" spans="1:19" ht="14.1" customHeight="1" x14ac:dyDescent="0.2">
      <c r="A127" s="282">
        <v>100</v>
      </c>
      <c r="B127" s="291" t="s">
        <v>485</v>
      </c>
      <c r="C127" s="45"/>
      <c r="D127" s="134">
        <f>'ESTIMASI  Ekspor Impor'!G127+'ESTIMASI  Ekspor Impor'!J127-'ESTIMASI  Ekspor Impor'!K127</f>
        <v>6250.9125998507998</v>
      </c>
      <c r="E127" s="134">
        <f>'Pemakaian Dalam Negeri'!E139</f>
        <v>0</v>
      </c>
      <c r="F127" s="134">
        <f>'Pemakaian Dalam Negeri'!F139</f>
        <v>0</v>
      </c>
      <c r="G127" s="134">
        <f>'Pemakaian Dalam Negeri'!G139</f>
        <v>0</v>
      </c>
      <c r="H127" s="134">
        <f>D127*P127</f>
        <v>128.14370829694141</v>
      </c>
      <c r="I127" s="134">
        <f>'Pemakaian Dalam Negeri'!I139</f>
        <v>0</v>
      </c>
      <c r="J127" s="134">
        <f>D127-E127-F127-G127-H127-I127</f>
        <v>6122.7688915538583</v>
      </c>
      <c r="K127" s="134">
        <f>E127+F127+G127+H127+I127+J127</f>
        <v>6250.9125998507998</v>
      </c>
      <c r="L127" s="134"/>
      <c r="M127" s="271"/>
      <c r="N127" s="269"/>
      <c r="O127" s="272"/>
      <c r="P127" s="270">
        <v>2.0500000000000001E-2</v>
      </c>
      <c r="Q127" s="318"/>
      <c r="S127" s="258"/>
    </row>
    <row r="128" spans="1:19" ht="14.1" customHeight="1" x14ac:dyDescent="0.2">
      <c r="A128" s="282">
        <v>101</v>
      </c>
      <c r="B128" s="291" t="s">
        <v>486</v>
      </c>
      <c r="C128" s="45"/>
      <c r="D128" s="134">
        <f>'ESTIMASI  Ekspor Impor'!G128+'ESTIMASI  Ekspor Impor'!J128-'ESTIMASI  Ekspor Impor'!K128</f>
        <v>403.45018958294997</v>
      </c>
      <c r="E128" s="134">
        <f>'Pemakaian Dalam Negeri'!E140</f>
        <v>0</v>
      </c>
      <c r="F128" s="134">
        <f>D128*N128</f>
        <v>54.465775593698247</v>
      </c>
      <c r="G128" s="134">
        <f>'Pemakaian Dalam Negeri'!G140</f>
        <v>0</v>
      </c>
      <c r="H128" s="134">
        <f>D128*P128</f>
        <v>15.815247431651638</v>
      </c>
      <c r="I128" s="134">
        <f>'Pemakaian Dalam Negeri'!I140</f>
        <v>0</v>
      </c>
      <c r="J128" s="134">
        <f>D128-E128-F128-G128-H128-I128</f>
        <v>333.16916655760008</v>
      </c>
      <c r="K128" s="134">
        <f>E128+F128+G128+H128+I128+J128</f>
        <v>403.45018958294997</v>
      </c>
      <c r="L128" s="134"/>
      <c r="M128" s="271"/>
      <c r="N128" s="269">
        <v>0.13500000000000001</v>
      </c>
      <c r="O128" s="272"/>
      <c r="P128" s="270">
        <v>3.9199999999999999E-2</v>
      </c>
      <c r="Q128" s="318"/>
      <c r="S128" s="258"/>
    </row>
    <row r="129" spans="1:19" ht="14.1" customHeight="1" x14ac:dyDescent="0.2">
      <c r="A129" s="282">
        <v>102</v>
      </c>
      <c r="B129" s="291" t="s">
        <v>487</v>
      </c>
      <c r="C129" s="45"/>
      <c r="D129" s="134">
        <f>'ESTIMASI  Ekspor Impor'!G129+'ESTIMASI  Ekspor Impor'!J129-'ESTIMASI  Ekspor Impor'!K129</f>
        <v>254.08425764</v>
      </c>
      <c r="E129" s="134">
        <f>'Pemakaian Dalam Negeri'!E141</f>
        <v>0</v>
      </c>
      <c r="F129" s="134">
        <f>'Pemakaian Dalam Negeri'!F141</f>
        <v>0</v>
      </c>
      <c r="G129" s="134">
        <f>'Pemakaian Dalam Negeri'!G141</f>
        <v>0</v>
      </c>
      <c r="H129" s="134">
        <f>D129*P129</f>
        <v>0</v>
      </c>
      <c r="I129" s="134">
        <f>'Pemakaian Dalam Negeri'!I141</f>
        <v>0</v>
      </c>
      <c r="J129" s="134">
        <f>D129-E129-F129-G129-H129-I129</f>
        <v>254.08425764</v>
      </c>
      <c r="K129" s="134">
        <f>E129+F129+G129+H129+I129+J129</f>
        <v>254.08425764</v>
      </c>
      <c r="L129" s="134"/>
      <c r="M129" s="269"/>
      <c r="N129" s="271"/>
      <c r="O129" s="270"/>
      <c r="P129" s="270"/>
      <c r="Q129" s="318"/>
      <c r="S129" s="258"/>
    </row>
    <row r="130" spans="1:19" ht="14.1" customHeight="1" x14ac:dyDescent="0.2">
      <c r="A130" s="282"/>
      <c r="B130" s="288"/>
      <c r="C130" s="282"/>
      <c r="D130" s="134"/>
      <c r="E130" s="134"/>
      <c r="F130" s="134"/>
      <c r="G130" s="134"/>
      <c r="H130" s="134"/>
      <c r="I130" s="134"/>
      <c r="J130" s="134"/>
      <c r="K130" s="134"/>
      <c r="L130" s="134"/>
      <c r="M130" s="271"/>
      <c r="N130" s="271"/>
      <c r="O130" s="270"/>
      <c r="P130" s="270"/>
      <c r="Q130" s="318"/>
      <c r="S130" s="258"/>
    </row>
    <row r="131" spans="1:19" ht="14.1" customHeight="1" x14ac:dyDescent="0.2">
      <c r="A131" s="288" t="s">
        <v>132</v>
      </c>
      <c r="B131" s="288"/>
      <c r="C131" s="282"/>
      <c r="D131" s="134"/>
      <c r="E131" s="134"/>
      <c r="F131" s="134"/>
      <c r="G131" s="134"/>
      <c r="H131" s="134"/>
      <c r="I131" s="134"/>
      <c r="J131" s="134"/>
      <c r="K131" s="134"/>
      <c r="L131" s="134"/>
      <c r="M131" s="271"/>
      <c r="N131" s="271"/>
      <c r="O131" s="270"/>
      <c r="P131" s="270"/>
      <c r="Q131" s="318"/>
      <c r="S131" s="258"/>
    </row>
    <row r="132" spans="1:19" ht="14.1" customHeight="1" x14ac:dyDescent="0.2">
      <c r="A132" s="282">
        <v>103</v>
      </c>
      <c r="B132" s="288" t="s">
        <v>488</v>
      </c>
      <c r="C132" s="45"/>
      <c r="D132" s="134">
        <f>'ESTIMASI  Ekspor Impor'!G132+'ESTIMASI  Ekspor Impor'!J132-'ESTIMASI  Ekspor Impor'!K132</f>
        <v>0</v>
      </c>
      <c r="E132" s="134">
        <f>M132*D132</f>
        <v>0</v>
      </c>
      <c r="F132" s="134">
        <f>'Pemakaian Dalam Negeri'!F144</f>
        <v>0</v>
      </c>
      <c r="G132" s="134">
        <f>'Pemakaian Dalam Negeri'!G144</f>
        <v>0</v>
      </c>
      <c r="H132" s="134">
        <f>D132*P132</f>
        <v>0</v>
      </c>
      <c r="I132" s="134">
        <f>'Pemakaian Dalam Negeri'!I144</f>
        <v>0</v>
      </c>
      <c r="J132" s="134">
        <f>D132-E132-F132-G132-H132-I132</f>
        <v>0</v>
      </c>
      <c r="K132" s="134">
        <f>E132+F132+G132+H132+I132+J132</f>
        <v>0</v>
      </c>
      <c r="L132" s="134"/>
      <c r="M132" s="271">
        <v>0.01</v>
      </c>
      <c r="N132" s="271"/>
      <c r="O132" s="270"/>
      <c r="P132" s="318">
        <v>0.01</v>
      </c>
      <c r="Q132" s="318"/>
      <c r="S132" s="258"/>
    </row>
    <row r="133" spans="1:19" ht="14.1" customHeight="1" x14ac:dyDescent="0.2">
      <c r="A133" s="282">
        <v>104</v>
      </c>
      <c r="B133" s="288" t="s">
        <v>489</v>
      </c>
      <c r="C133" s="45"/>
      <c r="D133" s="134">
        <f>'ESTIMASI  Ekspor Impor'!G133+'ESTIMASI  Ekspor Impor'!J133-'ESTIMASI  Ekspor Impor'!K133</f>
        <v>0</v>
      </c>
      <c r="E133" s="134">
        <f>M133*D133</f>
        <v>0</v>
      </c>
      <c r="F133" s="134">
        <f>'Pemakaian Dalam Negeri'!F145</f>
        <v>0</v>
      </c>
      <c r="G133" s="134">
        <f>'Pemakaian Dalam Negeri'!G145</f>
        <v>0</v>
      </c>
      <c r="H133" s="134">
        <f>D133*P133</f>
        <v>0</v>
      </c>
      <c r="I133" s="134">
        <f>'Pemakaian Dalam Negeri'!I145</f>
        <v>0</v>
      </c>
      <c r="J133" s="134">
        <f>D133-E133-F133-G133-H133-I133</f>
        <v>0</v>
      </c>
      <c r="K133" s="134">
        <f>E133+F133+G133+H133+I133+J133</f>
        <v>0</v>
      </c>
      <c r="L133" s="134"/>
      <c r="M133" s="271">
        <v>0.01</v>
      </c>
      <c r="N133" s="271"/>
      <c r="O133" s="270"/>
      <c r="P133" s="318">
        <v>0.01</v>
      </c>
      <c r="Q133" s="318"/>
      <c r="S133" s="258"/>
    </row>
    <row r="134" spans="1:19" ht="14.1" customHeight="1" x14ac:dyDescent="0.2">
      <c r="A134" s="282"/>
      <c r="B134" s="288"/>
      <c r="C134" s="282"/>
      <c r="D134" s="134"/>
      <c r="E134" s="134"/>
      <c r="F134" s="134"/>
      <c r="G134" s="134"/>
      <c r="H134" s="134"/>
      <c r="I134" s="134"/>
      <c r="J134" s="134"/>
      <c r="K134" s="134"/>
      <c r="L134" s="134"/>
      <c r="M134" s="271"/>
      <c r="N134" s="271"/>
      <c r="O134" s="270"/>
      <c r="P134" s="270"/>
      <c r="Q134" s="318"/>
      <c r="S134" s="258"/>
    </row>
    <row r="135" spans="1:19" ht="14.1" customHeight="1" x14ac:dyDescent="0.2">
      <c r="A135" s="288" t="s">
        <v>135</v>
      </c>
      <c r="B135" s="288"/>
      <c r="C135" s="282"/>
      <c r="D135" s="134"/>
      <c r="E135" s="134"/>
      <c r="F135" s="134"/>
      <c r="G135" s="134"/>
      <c r="H135" s="134"/>
      <c r="I135" s="134"/>
      <c r="J135" s="134"/>
      <c r="K135" s="134"/>
      <c r="L135" s="134"/>
      <c r="M135" s="271"/>
      <c r="N135" s="271"/>
      <c r="O135" s="270"/>
      <c r="P135" s="270"/>
      <c r="Q135" s="318"/>
      <c r="S135" s="258"/>
    </row>
    <row r="136" spans="1:19" ht="14.1" customHeight="1" x14ac:dyDescent="0.2">
      <c r="A136" s="282">
        <v>105</v>
      </c>
      <c r="B136" s="288" t="s">
        <v>490</v>
      </c>
      <c r="C136" s="45"/>
      <c r="D136" s="134">
        <f>'ESTIMASI  Ekspor Impor'!G136+'ESTIMASI  Ekspor Impor'!J136-'ESTIMASI  Ekspor Impor'!K136</f>
        <v>755.94436559547296</v>
      </c>
      <c r="E136" s="134">
        <f>'Pemakaian Dalam Negeri'!E148</f>
        <v>0</v>
      </c>
      <c r="F136" s="134">
        <f>'Pemakaian Dalam Negeri'!F148</f>
        <v>0</v>
      </c>
      <c r="G136" s="134">
        <f>'Pemakaian Dalam Negeri'!G148</f>
        <v>0</v>
      </c>
      <c r="H136" s="134">
        <f t="shared" ref="H136:H169" si="10">D136*P136</f>
        <v>7.5594436559547296</v>
      </c>
      <c r="I136" s="134">
        <f>'Pemakaian Dalam Negeri'!I148</f>
        <v>0</v>
      </c>
      <c r="J136" s="134">
        <f t="shared" ref="J136:J169" si="11">D136-E136-F136-G136-H136-I136</f>
        <v>748.38492193951822</v>
      </c>
      <c r="K136" s="134">
        <f t="shared" ref="K136:K169" si="12">E136+F136+G136+H136+I136+J136</f>
        <v>755.94436559547296</v>
      </c>
      <c r="L136" s="134"/>
      <c r="M136" s="271"/>
      <c r="N136" s="271"/>
      <c r="O136" s="270"/>
      <c r="P136" s="270">
        <v>0.01</v>
      </c>
      <c r="Q136" s="318"/>
      <c r="S136" s="258"/>
    </row>
    <row r="137" spans="1:19" ht="14.1" customHeight="1" x14ac:dyDescent="0.2">
      <c r="A137" s="282">
        <v>106</v>
      </c>
      <c r="B137" s="288" t="s">
        <v>491</v>
      </c>
      <c r="C137" s="45"/>
      <c r="D137" s="134">
        <f>'ESTIMASI  Ekspor Impor'!G137+'ESTIMASI  Ekspor Impor'!J137-'ESTIMASI  Ekspor Impor'!K137</f>
        <v>7.6209018170622498</v>
      </c>
      <c r="E137" s="134">
        <f>'Pemakaian Dalam Negeri'!E149</f>
        <v>0</v>
      </c>
      <c r="F137" s="134">
        <f>'Pemakaian Dalam Negeri'!F149</f>
        <v>0</v>
      </c>
      <c r="G137" s="134">
        <f>'Pemakaian Dalam Negeri'!G149</f>
        <v>0</v>
      </c>
      <c r="H137" s="134">
        <f t="shared" si="10"/>
        <v>7.6209018170622506E-2</v>
      </c>
      <c r="I137" s="134">
        <f>'Pemakaian Dalam Negeri'!I149</f>
        <v>0</v>
      </c>
      <c r="J137" s="134">
        <f t="shared" si="11"/>
        <v>7.544692798891627</v>
      </c>
      <c r="K137" s="134">
        <f t="shared" si="12"/>
        <v>7.6209018170622498</v>
      </c>
      <c r="L137" s="134"/>
      <c r="M137" s="271"/>
      <c r="N137" s="271"/>
      <c r="O137" s="270"/>
      <c r="P137" s="270">
        <v>0.01</v>
      </c>
      <c r="Q137" s="318"/>
      <c r="S137" s="258"/>
    </row>
    <row r="138" spans="1:19" ht="14.1" customHeight="1" x14ac:dyDescent="0.2">
      <c r="A138" s="282">
        <v>107</v>
      </c>
      <c r="B138" s="288" t="s">
        <v>492</v>
      </c>
      <c r="C138" s="45"/>
      <c r="D138" s="134">
        <f>'ESTIMASI  Ekspor Impor'!G138+'ESTIMASI  Ekspor Impor'!J138-'ESTIMASI  Ekspor Impor'!K138</f>
        <v>0</v>
      </c>
      <c r="E138" s="134">
        <f>'Pemakaian Dalam Negeri'!E150</f>
        <v>0</v>
      </c>
      <c r="F138" s="134">
        <f>'Pemakaian Dalam Negeri'!F150</f>
        <v>0</v>
      </c>
      <c r="G138" s="134">
        <f>'Pemakaian Dalam Negeri'!G150</f>
        <v>0</v>
      </c>
      <c r="H138" s="134">
        <f t="shared" si="10"/>
        <v>0</v>
      </c>
      <c r="I138" s="134">
        <f>'Pemakaian Dalam Negeri'!I150</f>
        <v>0</v>
      </c>
      <c r="J138" s="134">
        <f t="shared" si="11"/>
        <v>0</v>
      </c>
      <c r="K138" s="134">
        <f t="shared" si="12"/>
        <v>0</v>
      </c>
      <c r="L138" s="134"/>
      <c r="M138" s="271"/>
      <c r="N138" s="271"/>
      <c r="O138" s="270"/>
      <c r="P138" s="270">
        <v>0.01</v>
      </c>
      <c r="Q138" s="318"/>
      <c r="S138" s="258"/>
    </row>
    <row r="139" spans="1:19" ht="14.1" customHeight="1" x14ac:dyDescent="0.2">
      <c r="A139" s="282">
        <v>108</v>
      </c>
      <c r="B139" s="288" t="s">
        <v>493</v>
      </c>
      <c r="C139" s="45"/>
      <c r="D139" s="134">
        <f>'ESTIMASI  Ekspor Impor'!G139+'ESTIMASI  Ekspor Impor'!J139-'ESTIMASI  Ekspor Impor'!K139</f>
        <v>22</v>
      </c>
      <c r="E139" s="134">
        <f>'Pemakaian Dalam Negeri'!E151</f>
        <v>0</v>
      </c>
      <c r="F139" s="134">
        <f>'Pemakaian Dalam Negeri'!F151</f>
        <v>0</v>
      </c>
      <c r="G139" s="134">
        <f>'Pemakaian Dalam Negeri'!G151</f>
        <v>0</v>
      </c>
      <c r="H139" s="134">
        <f t="shared" si="10"/>
        <v>0.22</v>
      </c>
      <c r="I139" s="134">
        <f>'Pemakaian Dalam Negeri'!I151</f>
        <v>0</v>
      </c>
      <c r="J139" s="134">
        <f t="shared" si="11"/>
        <v>21.78</v>
      </c>
      <c r="K139" s="134">
        <f t="shared" si="12"/>
        <v>22</v>
      </c>
      <c r="L139" s="134"/>
      <c r="M139" s="271"/>
      <c r="N139" s="271"/>
      <c r="O139" s="270"/>
      <c r="P139" s="270">
        <v>0.01</v>
      </c>
      <c r="Q139" s="318"/>
      <c r="S139" s="258"/>
    </row>
    <row r="140" spans="1:19" ht="14.1" customHeight="1" x14ac:dyDescent="0.2">
      <c r="A140" s="282">
        <v>109</v>
      </c>
      <c r="B140" s="288" t="s">
        <v>494</v>
      </c>
      <c r="C140" s="45"/>
      <c r="D140" s="134">
        <f>'ESTIMASI  Ekspor Impor'!G140+'ESTIMASI  Ekspor Impor'!J140-'ESTIMASI  Ekspor Impor'!K140</f>
        <v>2955</v>
      </c>
      <c r="E140" s="134">
        <f>'Pemakaian Dalam Negeri'!E152</f>
        <v>0</v>
      </c>
      <c r="F140" s="134">
        <f>'Pemakaian Dalam Negeri'!F152</f>
        <v>0</v>
      </c>
      <c r="G140" s="134">
        <f>'Pemakaian Dalam Negeri'!G152</f>
        <v>0</v>
      </c>
      <c r="H140" s="134">
        <f t="shared" si="10"/>
        <v>29.55</v>
      </c>
      <c r="I140" s="134">
        <f>'Pemakaian Dalam Negeri'!I152</f>
        <v>0</v>
      </c>
      <c r="J140" s="134">
        <f t="shared" si="11"/>
        <v>2925.45</v>
      </c>
      <c r="K140" s="134">
        <f t="shared" si="12"/>
        <v>2955</v>
      </c>
      <c r="L140" s="134"/>
      <c r="M140" s="271"/>
      <c r="N140" s="271"/>
      <c r="O140" s="270"/>
      <c r="P140" s="270">
        <v>0.01</v>
      </c>
      <c r="Q140" s="318"/>
      <c r="S140" s="258"/>
    </row>
    <row r="141" spans="1:19" ht="14.1" customHeight="1" x14ac:dyDescent="0.2">
      <c r="A141" s="282">
        <v>110</v>
      </c>
      <c r="B141" s="288" t="s">
        <v>495</v>
      </c>
      <c r="C141" s="45"/>
      <c r="D141" s="134">
        <f>'ESTIMASI  Ekspor Impor'!G141+'ESTIMASI  Ekspor Impor'!J141-'ESTIMASI  Ekspor Impor'!K141</f>
        <v>0</v>
      </c>
      <c r="E141" s="134">
        <f>'Pemakaian Dalam Negeri'!E153</f>
        <v>0</v>
      </c>
      <c r="F141" s="134">
        <f>'Pemakaian Dalam Negeri'!F153</f>
        <v>0</v>
      </c>
      <c r="G141" s="134">
        <f>'Pemakaian Dalam Negeri'!G153</f>
        <v>0</v>
      </c>
      <c r="H141" s="134">
        <f t="shared" si="10"/>
        <v>0</v>
      </c>
      <c r="I141" s="134">
        <f>'Pemakaian Dalam Negeri'!I153</f>
        <v>0</v>
      </c>
      <c r="J141" s="134">
        <f t="shared" si="11"/>
        <v>0</v>
      </c>
      <c r="K141" s="134">
        <f t="shared" si="12"/>
        <v>0</v>
      </c>
      <c r="L141" s="134"/>
      <c r="M141" s="271"/>
      <c r="N141" s="271"/>
      <c r="O141" s="270"/>
      <c r="P141" s="270">
        <v>0.01</v>
      </c>
      <c r="Q141" s="318"/>
      <c r="S141" s="258"/>
    </row>
    <row r="142" spans="1:19" ht="14.1" customHeight="1" x14ac:dyDescent="0.2">
      <c r="A142" s="282">
        <v>111</v>
      </c>
      <c r="B142" s="288" t="s">
        <v>496</v>
      </c>
      <c r="C142" s="45"/>
      <c r="D142" s="134">
        <f>'ESTIMASI  Ekspor Impor'!G142+'ESTIMASI  Ekspor Impor'!J142-'ESTIMASI  Ekspor Impor'!K142</f>
        <v>63.029507460292699</v>
      </c>
      <c r="E142" s="134">
        <f>'Pemakaian Dalam Negeri'!E154</f>
        <v>0</v>
      </c>
      <c r="F142" s="134">
        <f>'Pemakaian Dalam Negeri'!F154</f>
        <v>0</v>
      </c>
      <c r="G142" s="134">
        <f>'Pemakaian Dalam Negeri'!G154</f>
        <v>0</v>
      </c>
      <c r="H142" s="134">
        <f t="shared" si="10"/>
        <v>0.630295074602927</v>
      </c>
      <c r="I142" s="134">
        <f>'Pemakaian Dalam Negeri'!I154</f>
        <v>0</v>
      </c>
      <c r="J142" s="134">
        <f t="shared" si="11"/>
        <v>62.399212385689772</v>
      </c>
      <c r="K142" s="134">
        <f t="shared" si="12"/>
        <v>63.029507460292699</v>
      </c>
      <c r="L142" s="134"/>
      <c r="M142" s="271"/>
      <c r="N142" s="271"/>
      <c r="O142" s="270"/>
      <c r="P142" s="270">
        <v>0.01</v>
      </c>
      <c r="Q142" s="318"/>
      <c r="S142" s="258"/>
    </row>
    <row r="143" spans="1:19" ht="14.1" customHeight="1" x14ac:dyDescent="0.2">
      <c r="A143" s="282">
        <v>112</v>
      </c>
      <c r="B143" s="288" t="s">
        <v>497</v>
      </c>
      <c r="C143" s="45"/>
      <c r="D143" s="134">
        <f>'ESTIMASI  Ekspor Impor'!G143+'ESTIMASI  Ekspor Impor'!J143-'ESTIMASI  Ekspor Impor'!K143</f>
        <v>6.47630990382926</v>
      </c>
      <c r="E143" s="134">
        <f>'Pemakaian Dalam Negeri'!E155</f>
        <v>0</v>
      </c>
      <c r="F143" s="134">
        <f>'Pemakaian Dalam Negeri'!F155</f>
        <v>0</v>
      </c>
      <c r="G143" s="134">
        <f>'Pemakaian Dalam Negeri'!G155</f>
        <v>0</v>
      </c>
      <c r="H143" s="134">
        <f t="shared" si="10"/>
        <v>6.4763099038292596E-2</v>
      </c>
      <c r="I143" s="134">
        <f>'Pemakaian Dalam Negeri'!I155</f>
        <v>0</v>
      </c>
      <c r="J143" s="134">
        <f t="shared" si="11"/>
        <v>6.4115468047909676</v>
      </c>
      <c r="K143" s="134">
        <f t="shared" si="12"/>
        <v>6.47630990382926</v>
      </c>
      <c r="L143" s="134"/>
      <c r="M143" s="271"/>
      <c r="N143" s="271"/>
      <c r="O143" s="270"/>
      <c r="P143" s="270">
        <v>0.01</v>
      </c>
      <c r="Q143" s="318"/>
      <c r="S143" s="258"/>
    </row>
    <row r="144" spans="1:19" ht="14.1" customHeight="1" x14ac:dyDescent="0.2">
      <c r="A144" s="282">
        <v>113</v>
      </c>
      <c r="B144" s="288" t="s">
        <v>498</v>
      </c>
      <c r="C144" s="45"/>
      <c r="D144" s="134">
        <f>'ESTIMASI  Ekspor Impor'!G144+'ESTIMASI  Ekspor Impor'!J144-'ESTIMASI  Ekspor Impor'!K144</f>
        <v>1.14090724695353</v>
      </c>
      <c r="E144" s="134">
        <f>'Pemakaian Dalam Negeri'!E156</f>
        <v>0</v>
      </c>
      <c r="F144" s="134">
        <f>'Pemakaian Dalam Negeri'!F156</f>
        <v>0</v>
      </c>
      <c r="G144" s="134">
        <f>'Pemakaian Dalam Negeri'!G156</f>
        <v>0</v>
      </c>
      <c r="H144" s="134">
        <f t="shared" si="10"/>
        <v>1.1409072469535301E-2</v>
      </c>
      <c r="I144" s="134">
        <f>'Pemakaian Dalam Negeri'!I156</f>
        <v>0</v>
      </c>
      <c r="J144" s="134">
        <f t="shared" si="11"/>
        <v>1.1294981744839947</v>
      </c>
      <c r="K144" s="134">
        <f t="shared" si="12"/>
        <v>1.14090724695353</v>
      </c>
      <c r="L144" s="134"/>
      <c r="M144" s="271"/>
      <c r="N144" s="271"/>
      <c r="O144" s="270"/>
      <c r="P144" s="270">
        <v>0.01</v>
      </c>
      <c r="Q144" s="318"/>
      <c r="S144" s="258"/>
    </row>
    <row r="145" spans="1:19" ht="14.1" customHeight="1" x14ac:dyDescent="0.2">
      <c r="A145" s="282">
        <v>114</v>
      </c>
      <c r="B145" s="288" t="s">
        <v>499</v>
      </c>
      <c r="C145" s="45"/>
      <c r="D145" s="134">
        <f>'ESTIMASI  Ekspor Impor'!G145+'ESTIMASI  Ekspor Impor'!J145-'ESTIMASI  Ekspor Impor'!K145</f>
        <v>0</v>
      </c>
      <c r="E145" s="134">
        <f>'Pemakaian Dalam Negeri'!E157</f>
        <v>0</v>
      </c>
      <c r="F145" s="134">
        <f>'Pemakaian Dalam Negeri'!F157</f>
        <v>0</v>
      </c>
      <c r="G145" s="134">
        <f>'Pemakaian Dalam Negeri'!G157</f>
        <v>0</v>
      </c>
      <c r="H145" s="134">
        <f t="shared" si="10"/>
        <v>0</v>
      </c>
      <c r="I145" s="134">
        <f>'Pemakaian Dalam Negeri'!I157</f>
        <v>0</v>
      </c>
      <c r="J145" s="134">
        <f t="shared" si="11"/>
        <v>0</v>
      </c>
      <c r="K145" s="134">
        <f t="shared" si="12"/>
        <v>0</v>
      </c>
      <c r="L145" s="134"/>
      <c r="M145" s="271"/>
      <c r="N145" s="271"/>
      <c r="O145" s="270"/>
      <c r="P145" s="270">
        <v>0.01</v>
      </c>
      <c r="Q145" s="318"/>
      <c r="S145" s="258"/>
    </row>
    <row r="146" spans="1:19" ht="14.1" customHeight="1" x14ac:dyDescent="0.2">
      <c r="A146" s="282">
        <v>115</v>
      </c>
      <c r="B146" s="288" t="s">
        <v>500</v>
      </c>
      <c r="C146" s="45"/>
      <c r="D146" s="134">
        <f>'ESTIMASI  Ekspor Impor'!G146+'ESTIMASI  Ekspor Impor'!J146-'ESTIMASI  Ekspor Impor'!K146</f>
        <v>40.922301395519497</v>
      </c>
      <c r="E146" s="134">
        <f>'Pemakaian Dalam Negeri'!E158</f>
        <v>0</v>
      </c>
      <c r="F146" s="134">
        <f>'Pemakaian Dalam Negeri'!F158</f>
        <v>0</v>
      </c>
      <c r="G146" s="134">
        <f>'Pemakaian Dalam Negeri'!G158</f>
        <v>0</v>
      </c>
      <c r="H146" s="134">
        <f t="shared" si="10"/>
        <v>0.409223013955195</v>
      </c>
      <c r="I146" s="134">
        <f>'Pemakaian Dalam Negeri'!I158</f>
        <v>0</v>
      </c>
      <c r="J146" s="134">
        <f t="shared" si="11"/>
        <v>40.513078381564306</v>
      </c>
      <c r="K146" s="134">
        <f t="shared" si="12"/>
        <v>40.922301395519497</v>
      </c>
      <c r="L146" s="134"/>
      <c r="M146" s="271"/>
      <c r="N146" s="271"/>
      <c r="O146" s="270"/>
      <c r="P146" s="270">
        <v>0.01</v>
      </c>
      <c r="Q146" s="318"/>
      <c r="S146" s="258"/>
    </row>
    <row r="147" spans="1:19" ht="14.1" customHeight="1" x14ac:dyDescent="0.2">
      <c r="A147" s="282">
        <v>116</v>
      </c>
      <c r="B147" s="288" t="s">
        <v>501</v>
      </c>
      <c r="C147" s="45"/>
      <c r="D147" s="134">
        <f>'ESTIMASI  Ekspor Impor'!G147+'ESTIMASI  Ekspor Impor'!J147-'ESTIMASI  Ekspor Impor'!K147</f>
        <v>3195.43</v>
      </c>
      <c r="E147" s="134">
        <f>'Pemakaian Dalam Negeri'!E159</f>
        <v>0</v>
      </c>
      <c r="F147" s="134">
        <f>'Pemakaian Dalam Negeri'!F159</f>
        <v>0</v>
      </c>
      <c r="G147" s="134">
        <f>'Pemakaian Dalam Negeri'!G159</f>
        <v>0</v>
      </c>
      <c r="H147" s="134">
        <f t="shared" si="10"/>
        <v>31.9543</v>
      </c>
      <c r="I147" s="134">
        <f>'Pemakaian Dalam Negeri'!I159</f>
        <v>0</v>
      </c>
      <c r="J147" s="134">
        <f t="shared" si="11"/>
        <v>3163.4757</v>
      </c>
      <c r="K147" s="134">
        <f t="shared" si="12"/>
        <v>3195.43</v>
      </c>
      <c r="L147" s="134"/>
      <c r="M147" s="271"/>
      <c r="N147" s="271"/>
      <c r="O147" s="270"/>
      <c r="P147" s="270">
        <v>0.01</v>
      </c>
      <c r="Q147" s="318"/>
      <c r="S147" s="258"/>
    </row>
    <row r="148" spans="1:19" ht="14.1" customHeight="1" x14ac:dyDescent="0.2">
      <c r="A148" s="282">
        <v>117</v>
      </c>
      <c r="B148" s="288" t="s">
        <v>502</v>
      </c>
      <c r="C148" s="45"/>
      <c r="D148" s="134">
        <f>'ESTIMASI  Ekspor Impor'!G148+'ESTIMASI  Ekspor Impor'!J148-'ESTIMASI  Ekspor Impor'!K148</f>
        <v>10147.36</v>
      </c>
      <c r="E148" s="134">
        <f>'Pemakaian Dalam Negeri'!E160</f>
        <v>0</v>
      </c>
      <c r="F148" s="134">
        <f>'Pemakaian Dalam Negeri'!F160</f>
        <v>0</v>
      </c>
      <c r="G148" s="134">
        <f>'Pemakaian Dalam Negeri'!G160</f>
        <v>0</v>
      </c>
      <c r="H148" s="134">
        <f t="shared" si="10"/>
        <v>101.4736</v>
      </c>
      <c r="I148" s="134">
        <f>'Pemakaian Dalam Negeri'!I160</f>
        <v>0</v>
      </c>
      <c r="J148" s="134">
        <f t="shared" si="11"/>
        <v>10045.886400000001</v>
      </c>
      <c r="K148" s="134">
        <f t="shared" si="12"/>
        <v>10147.36</v>
      </c>
      <c r="L148" s="134"/>
      <c r="M148" s="271"/>
      <c r="N148" s="271"/>
      <c r="O148" s="270"/>
      <c r="P148" s="272">
        <v>0.01</v>
      </c>
      <c r="Q148" s="318"/>
      <c r="S148" s="258"/>
    </row>
    <row r="149" spans="1:19" ht="14.1" customHeight="1" x14ac:dyDescent="0.2">
      <c r="A149" s="282">
        <v>118</v>
      </c>
      <c r="B149" s="288" t="s">
        <v>503</v>
      </c>
      <c r="C149" s="45"/>
      <c r="D149" s="134">
        <f>'ESTIMASI  Ekspor Impor'!G149+'ESTIMASI  Ekspor Impor'!J149-'ESTIMASI  Ekspor Impor'!K149</f>
        <v>1572.1100000000001</v>
      </c>
      <c r="E149" s="134">
        <f>'Pemakaian Dalam Negeri'!E161</f>
        <v>0</v>
      </c>
      <c r="F149" s="134">
        <f>'Pemakaian Dalam Negeri'!F161</f>
        <v>0</v>
      </c>
      <c r="G149" s="134">
        <f>'Pemakaian Dalam Negeri'!G161</f>
        <v>0</v>
      </c>
      <c r="H149" s="134">
        <f t="shared" si="10"/>
        <v>15.721100000000002</v>
      </c>
      <c r="I149" s="134">
        <f>'Pemakaian Dalam Negeri'!I161</f>
        <v>0</v>
      </c>
      <c r="J149" s="134">
        <f t="shared" si="11"/>
        <v>1556.3889000000001</v>
      </c>
      <c r="K149" s="134">
        <f t="shared" si="12"/>
        <v>1572.1100000000001</v>
      </c>
      <c r="L149" s="134"/>
      <c r="M149" s="271"/>
      <c r="N149" s="271"/>
      <c r="O149" s="270"/>
      <c r="P149" s="272">
        <v>0.01</v>
      </c>
      <c r="Q149" s="318"/>
      <c r="S149" s="258"/>
    </row>
    <row r="150" spans="1:19" ht="14.1" customHeight="1" x14ac:dyDescent="0.2">
      <c r="A150" s="282">
        <v>119</v>
      </c>
      <c r="B150" s="288" t="s">
        <v>504</v>
      </c>
      <c r="C150" s="45"/>
      <c r="D150" s="134">
        <f>'ESTIMASI  Ekspor Impor'!G150+'ESTIMASI  Ekspor Impor'!J150-'ESTIMASI  Ekspor Impor'!K150</f>
        <v>11042.5</v>
      </c>
      <c r="E150" s="134">
        <f>'Pemakaian Dalam Negeri'!E162</f>
        <v>0</v>
      </c>
      <c r="F150" s="134">
        <f>'Pemakaian Dalam Negeri'!F162</f>
        <v>0</v>
      </c>
      <c r="G150" s="134">
        <f>'Pemakaian Dalam Negeri'!G162</f>
        <v>0</v>
      </c>
      <c r="H150" s="134">
        <f t="shared" si="10"/>
        <v>110.425</v>
      </c>
      <c r="I150" s="134">
        <f>'Pemakaian Dalam Negeri'!I162</f>
        <v>0</v>
      </c>
      <c r="J150" s="134">
        <f t="shared" si="11"/>
        <v>10932.075000000001</v>
      </c>
      <c r="K150" s="134">
        <f t="shared" si="12"/>
        <v>11042.5</v>
      </c>
      <c r="L150" s="134"/>
      <c r="M150" s="271"/>
      <c r="N150" s="271"/>
      <c r="O150" s="270"/>
      <c r="P150" s="272">
        <v>0.01</v>
      </c>
      <c r="Q150" s="318"/>
      <c r="S150" s="258"/>
    </row>
    <row r="151" spans="1:19" ht="14.1" customHeight="1" x14ac:dyDescent="0.2">
      <c r="A151" s="282">
        <v>120</v>
      </c>
      <c r="B151" s="288" t="s">
        <v>505</v>
      </c>
      <c r="C151" s="45"/>
      <c r="D151" s="134">
        <f>'ESTIMASI  Ekspor Impor'!G151+'ESTIMASI  Ekspor Impor'!J151-'ESTIMASI  Ekspor Impor'!K151</f>
        <v>0</v>
      </c>
      <c r="E151" s="134">
        <f>'Pemakaian Dalam Negeri'!E163</f>
        <v>0</v>
      </c>
      <c r="F151" s="134">
        <f>'Pemakaian Dalam Negeri'!F163</f>
        <v>0</v>
      </c>
      <c r="G151" s="134">
        <f>'Pemakaian Dalam Negeri'!G163</f>
        <v>0</v>
      </c>
      <c r="H151" s="134">
        <f t="shared" si="10"/>
        <v>0</v>
      </c>
      <c r="I151" s="134">
        <f>'Pemakaian Dalam Negeri'!I163</f>
        <v>0</v>
      </c>
      <c r="J151" s="134">
        <f t="shared" si="11"/>
        <v>0</v>
      </c>
      <c r="K151" s="134">
        <f t="shared" si="12"/>
        <v>0</v>
      </c>
      <c r="L151" s="134"/>
      <c r="M151" s="271"/>
      <c r="N151" s="271"/>
      <c r="O151" s="270"/>
      <c r="P151" s="272">
        <v>0.01</v>
      </c>
      <c r="Q151" s="318"/>
      <c r="S151" s="258"/>
    </row>
    <row r="152" spans="1:19" ht="14.1" customHeight="1" x14ac:dyDescent="0.2">
      <c r="A152" s="282">
        <v>121</v>
      </c>
      <c r="B152" s="288" t="s">
        <v>506</v>
      </c>
      <c r="C152" s="45"/>
      <c r="D152" s="134">
        <f>'ESTIMASI  Ekspor Impor'!G152+'ESTIMASI  Ekspor Impor'!J152-'ESTIMASI  Ekspor Impor'!K152</f>
        <v>840.02</v>
      </c>
      <c r="E152" s="134">
        <f>'Pemakaian Dalam Negeri'!E164</f>
        <v>0</v>
      </c>
      <c r="F152" s="134">
        <f>'Pemakaian Dalam Negeri'!F164</f>
        <v>0</v>
      </c>
      <c r="G152" s="134">
        <f>'Pemakaian Dalam Negeri'!G164</f>
        <v>0</v>
      </c>
      <c r="H152" s="134">
        <f t="shared" si="10"/>
        <v>8.4001999999999999</v>
      </c>
      <c r="I152" s="134">
        <f>'Pemakaian Dalam Negeri'!I164</f>
        <v>0</v>
      </c>
      <c r="J152" s="134">
        <f t="shared" si="11"/>
        <v>831.61979999999994</v>
      </c>
      <c r="K152" s="134">
        <f t="shared" si="12"/>
        <v>840.02</v>
      </c>
      <c r="L152" s="134"/>
      <c r="M152" s="271"/>
      <c r="N152" s="271"/>
      <c r="O152" s="270"/>
      <c r="P152" s="272">
        <v>0.01</v>
      </c>
      <c r="Q152" s="318"/>
      <c r="S152" s="258"/>
    </row>
    <row r="153" spans="1:19" ht="14.1" customHeight="1" x14ac:dyDescent="0.2">
      <c r="A153" s="282">
        <v>122</v>
      </c>
      <c r="B153" s="288" t="s">
        <v>507</v>
      </c>
      <c r="C153" s="45"/>
      <c r="D153" s="134">
        <f>'ESTIMASI  Ekspor Impor'!G153+'ESTIMASI  Ekspor Impor'!J153-'ESTIMASI  Ekspor Impor'!K153</f>
        <v>137</v>
      </c>
      <c r="E153" s="134">
        <f>'Pemakaian Dalam Negeri'!E165</f>
        <v>0</v>
      </c>
      <c r="F153" s="134">
        <f>'Pemakaian Dalam Negeri'!F165</f>
        <v>0</v>
      </c>
      <c r="G153" s="134">
        <f>'Pemakaian Dalam Negeri'!G165</f>
        <v>0</v>
      </c>
      <c r="H153" s="134">
        <f t="shared" si="10"/>
        <v>0.68500000000000005</v>
      </c>
      <c r="I153" s="134">
        <f>'Pemakaian Dalam Negeri'!I165</f>
        <v>0</v>
      </c>
      <c r="J153" s="134">
        <f t="shared" si="11"/>
        <v>136.315</v>
      </c>
      <c r="K153" s="134">
        <f t="shared" si="12"/>
        <v>137</v>
      </c>
      <c r="L153" s="134"/>
      <c r="M153" s="271"/>
      <c r="N153" s="271"/>
      <c r="O153" s="270"/>
      <c r="P153" s="272">
        <v>5.0000000000000001E-3</v>
      </c>
      <c r="Q153" s="318"/>
      <c r="S153" s="258"/>
    </row>
    <row r="154" spans="1:19" ht="14.1" customHeight="1" x14ac:dyDescent="0.2">
      <c r="A154" s="282">
        <v>123</v>
      </c>
      <c r="B154" s="288" t="s">
        <v>508</v>
      </c>
      <c r="C154" s="45"/>
      <c r="D154" s="134">
        <f>'ESTIMASI  Ekspor Impor'!G154+'ESTIMASI  Ekspor Impor'!J154-'ESTIMASI  Ekspor Impor'!K154</f>
        <v>0</v>
      </c>
      <c r="E154" s="134">
        <f>'Pemakaian Dalam Negeri'!E166</f>
        <v>0</v>
      </c>
      <c r="F154" s="134">
        <f>'Pemakaian Dalam Negeri'!F166</f>
        <v>0</v>
      </c>
      <c r="G154" s="134">
        <f>'Pemakaian Dalam Negeri'!G166</f>
        <v>0</v>
      </c>
      <c r="H154" s="134">
        <f t="shared" si="10"/>
        <v>0</v>
      </c>
      <c r="I154" s="134">
        <f>'Pemakaian Dalam Negeri'!I166</f>
        <v>0</v>
      </c>
      <c r="J154" s="134">
        <f t="shared" si="11"/>
        <v>0</v>
      </c>
      <c r="K154" s="134">
        <f t="shared" si="12"/>
        <v>0</v>
      </c>
      <c r="L154" s="134"/>
      <c r="M154" s="271"/>
      <c r="N154" s="271"/>
      <c r="O154" s="270"/>
      <c r="P154" s="272">
        <v>0.01</v>
      </c>
      <c r="Q154" s="319"/>
      <c r="S154" s="258"/>
    </row>
    <row r="155" spans="1:19" ht="14.1" customHeight="1" x14ac:dyDescent="0.2">
      <c r="A155" s="282">
        <v>124</v>
      </c>
      <c r="B155" s="288" t="s">
        <v>509</v>
      </c>
      <c r="C155" s="45"/>
      <c r="D155" s="134">
        <f>'ESTIMASI  Ekspor Impor'!G155+'ESTIMASI  Ekspor Impor'!J155-'ESTIMASI  Ekspor Impor'!K155</f>
        <v>5.75101721917334</v>
      </c>
      <c r="E155" s="134">
        <f>'Pemakaian Dalam Negeri'!E167</f>
        <v>0</v>
      </c>
      <c r="F155" s="134">
        <f>'Pemakaian Dalam Negeri'!F167</f>
        <v>0</v>
      </c>
      <c r="G155" s="134">
        <f>'Pemakaian Dalam Negeri'!G167</f>
        <v>0</v>
      </c>
      <c r="H155" s="134">
        <f t="shared" si="10"/>
        <v>5.7510172191733398E-2</v>
      </c>
      <c r="I155" s="134">
        <f>'Pemakaian Dalam Negeri'!I167</f>
        <v>0</v>
      </c>
      <c r="J155" s="134">
        <f t="shared" si="11"/>
        <v>5.6935070469816065</v>
      </c>
      <c r="K155" s="134">
        <f t="shared" si="12"/>
        <v>5.75101721917334</v>
      </c>
      <c r="L155" s="134"/>
      <c r="M155" s="271"/>
      <c r="N155" s="271"/>
      <c r="O155" s="270"/>
      <c r="P155" s="272">
        <v>0.01</v>
      </c>
      <c r="Q155" s="318"/>
      <c r="S155" s="258"/>
    </row>
    <row r="156" spans="1:19" s="52" customFormat="1" ht="14.1" customHeight="1" x14ac:dyDescent="0.2">
      <c r="A156" s="282">
        <v>125</v>
      </c>
      <c r="B156" s="288" t="s">
        <v>510</v>
      </c>
      <c r="C156" s="45"/>
      <c r="D156" s="134">
        <f>'ESTIMASI  Ekspor Impor'!G156+'ESTIMASI  Ekspor Impor'!J156-'ESTIMASI  Ekspor Impor'!K156</f>
        <v>36.886230322514997</v>
      </c>
      <c r="E156" s="134">
        <f>'Pemakaian Dalam Negeri'!E168</f>
        <v>0</v>
      </c>
      <c r="F156" s="134">
        <f>'Pemakaian Dalam Negeri'!F168</f>
        <v>0</v>
      </c>
      <c r="G156" s="134">
        <f>'Pemakaian Dalam Negeri'!G168</f>
        <v>0</v>
      </c>
      <c r="H156" s="134">
        <f t="shared" si="10"/>
        <v>0.36886230322514996</v>
      </c>
      <c r="I156" s="134">
        <f>'Pemakaian Dalam Negeri'!I168</f>
        <v>0</v>
      </c>
      <c r="J156" s="134">
        <f t="shared" si="11"/>
        <v>36.517368019289847</v>
      </c>
      <c r="K156" s="134">
        <f t="shared" si="12"/>
        <v>36.886230322514997</v>
      </c>
      <c r="L156" s="134"/>
      <c r="M156" s="271"/>
      <c r="N156" s="269"/>
      <c r="O156" s="273"/>
      <c r="P156" s="273">
        <v>0.01</v>
      </c>
      <c r="Q156" s="318"/>
      <c r="R156" s="540"/>
      <c r="S156" s="258"/>
    </row>
    <row r="157" spans="1:19" s="52" customFormat="1" ht="14.1" customHeight="1" x14ac:dyDescent="0.2">
      <c r="A157" s="282">
        <v>126</v>
      </c>
      <c r="B157" s="288" t="s">
        <v>511</v>
      </c>
      <c r="C157" s="45"/>
      <c r="D157" s="134">
        <f>'ESTIMASI  Ekspor Impor'!G157+'ESTIMASI  Ekspor Impor'!J157-'ESTIMASI  Ekspor Impor'!K157</f>
        <v>0</v>
      </c>
      <c r="E157" s="134">
        <f>'Pemakaian Dalam Negeri'!E169</f>
        <v>0</v>
      </c>
      <c r="F157" s="134">
        <f>'Pemakaian Dalam Negeri'!F169</f>
        <v>0</v>
      </c>
      <c r="G157" s="134">
        <f>'Pemakaian Dalam Negeri'!G169</f>
        <v>0</v>
      </c>
      <c r="H157" s="134">
        <f t="shared" si="10"/>
        <v>0</v>
      </c>
      <c r="I157" s="134">
        <f>'Pemakaian Dalam Negeri'!I169</f>
        <v>0</v>
      </c>
      <c r="J157" s="134">
        <f t="shared" si="11"/>
        <v>0</v>
      </c>
      <c r="K157" s="134">
        <f t="shared" si="12"/>
        <v>0</v>
      </c>
      <c r="L157" s="134"/>
      <c r="M157" s="271"/>
      <c r="N157" s="269"/>
      <c r="O157" s="273"/>
      <c r="P157" s="273">
        <v>0.01</v>
      </c>
      <c r="Q157" s="318"/>
      <c r="R157" s="540"/>
      <c r="S157" s="258"/>
    </row>
    <row r="158" spans="1:19" s="52" customFormat="1" ht="14.1" customHeight="1" x14ac:dyDescent="0.2">
      <c r="A158" s="282">
        <v>127</v>
      </c>
      <c r="B158" s="288" t="s">
        <v>28</v>
      </c>
      <c r="C158" s="45"/>
      <c r="D158" s="134">
        <f>'ESTIMASI  Ekspor Impor'!G158+'ESTIMASI  Ekspor Impor'!J158-'ESTIMASI  Ekspor Impor'!K158</f>
        <v>0</v>
      </c>
      <c r="E158" s="134">
        <f>'Pemakaian Dalam Negeri'!E170</f>
        <v>0</v>
      </c>
      <c r="F158" s="134">
        <f>'Pemakaian Dalam Negeri'!F170</f>
        <v>0</v>
      </c>
      <c r="G158" s="134">
        <f>'Pemakaian Dalam Negeri'!G170</f>
        <v>0</v>
      </c>
      <c r="H158" s="134">
        <f t="shared" si="10"/>
        <v>0</v>
      </c>
      <c r="I158" s="134">
        <f>'Pemakaian Dalam Negeri'!I170</f>
        <v>0</v>
      </c>
      <c r="J158" s="134">
        <f t="shared" si="11"/>
        <v>0</v>
      </c>
      <c r="K158" s="134">
        <f t="shared" si="12"/>
        <v>0</v>
      </c>
      <c r="L158" s="134"/>
      <c r="M158" s="271"/>
      <c r="N158" s="269"/>
      <c r="O158" s="273"/>
      <c r="P158" s="273">
        <v>0.01</v>
      </c>
      <c r="Q158" s="318"/>
      <c r="R158" s="540"/>
      <c r="S158" s="258"/>
    </row>
    <row r="159" spans="1:19" s="52" customFormat="1" ht="14.1" customHeight="1" x14ac:dyDescent="0.2">
      <c r="A159" s="282">
        <v>128</v>
      </c>
      <c r="B159" s="288" t="s">
        <v>29</v>
      </c>
      <c r="C159" s="45"/>
      <c r="D159" s="134">
        <f>'ESTIMASI  Ekspor Impor'!G159+'ESTIMASI  Ekspor Impor'!J159-'ESTIMASI  Ekspor Impor'!K159</f>
        <v>12</v>
      </c>
      <c r="E159" s="134">
        <f>'Pemakaian Dalam Negeri'!E171</f>
        <v>0</v>
      </c>
      <c r="F159" s="134">
        <f>'Pemakaian Dalam Negeri'!F171</f>
        <v>0</v>
      </c>
      <c r="G159" s="134">
        <f>'Pemakaian Dalam Negeri'!G171</f>
        <v>0</v>
      </c>
      <c r="H159" s="134">
        <f t="shared" si="10"/>
        <v>0.12</v>
      </c>
      <c r="I159" s="134">
        <f>'Pemakaian Dalam Negeri'!I171</f>
        <v>0</v>
      </c>
      <c r="J159" s="134">
        <f t="shared" si="11"/>
        <v>11.88</v>
      </c>
      <c r="K159" s="134">
        <f t="shared" si="12"/>
        <v>12</v>
      </c>
      <c r="L159" s="134"/>
      <c r="M159" s="271"/>
      <c r="N159" s="269"/>
      <c r="O159" s="273"/>
      <c r="P159" s="273">
        <v>0.01</v>
      </c>
      <c r="Q159" s="318"/>
      <c r="R159" s="540"/>
      <c r="S159" s="258"/>
    </row>
    <row r="160" spans="1:19" s="52" customFormat="1" ht="14.1" customHeight="1" x14ac:dyDescent="0.2">
      <c r="A160" s="282">
        <v>129</v>
      </c>
      <c r="B160" s="288" t="s">
        <v>30</v>
      </c>
      <c r="C160" s="45"/>
      <c r="D160" s="134">
        <f>'ESTIMASI  Ekspor Impor'!G160+'ESTIMASI  Ekspor Impor'!J160-'ESTIMASI  Ekspor Impor'!K160</f>
        <v>61.8886957985045</v>
      </c>
      <c r="E160" s="134">
        <f>'Pemakaian Dalam Negeri'!E172</f>
        <v>0</v>
      </c>
      <c r="F160" s="134">
        <f>'Pemakaian Dalam Negeri'!F172</f>
        <v>0</v>
      </c>
      <c r="G160" s="134">
        <f>'Pemakaian Dalam Negeri'!G172</f>
        <v>0</v>
      </c>
      <c r="H160" s="134">
        <f t="shared" si="10"/>
        <v>0.61888695798504501</v>
      </c>
      <c r="I160" s="134">
        <f>'Pemakaian Dalam Negeri'!I172</f>
        <v>0</v>
      </c>
      <c r="J160" s="134">
        <f t="shared" si="11"/>
        <v>61.269808840519453</v>
      </c>
      <c r="K160" s="134">
        <f t="shared" si="12"/>
        <v>61.8886957985045</v>
      </c>
      <c r="L160" s="134"/>
      <c r="M160" s="269"/>
      <c r="N160" s="269"/>
      <c r="O160" s="273"/>
      <c r="P160" s="273">
        <v>0.01</v>
      </c>
      <c r="Q160" s="318"/>
      <c r="R160" s="540"/>
      <c r="S160" s="258"/>
    </row>
    <row r="161" spans="1:19" ht="14.1" customHeight="1" x14ac:dyDescent="0.2">
      <c r="A161" s="282">
        <v>130</v>
      </c>
      <c r="B161" s="288" t="s">
        <v>31</v>
      </c>
      <c r="C161" s="45"/>
      <c r="D161" s="134">
        <f>'ESTIMASI  Ekspor Impor'!G161+'ESTIMASI  Ekspor Impor'!J161-'ESTIMASI  Ekspor Impor'!K161</f>
        <v>68</v>
      </c>
      <c r="E161" s="134">
        <f>'Pemakaian Dalam Negeri'!E173</f>
        <v>0</v>
      </c>
      <c r="F161" s="134">
        <f>'Pemakaian Dalam Negeri'!F173</f>
        <v>0</v>
      </c>
      <c r="G161" s="134">
        <f>'Pemakaian Dalam Negeri'!G173</f>
        <v>0</v>
      </c>
      <c r="H161" s="134">
        <f t="shared" si="10"/>
        <v>0.68</v>
      </c>
      <c r="I161" s="134">
        <f>'Pemakaian Dalam Negeri'!I173</f>
        <v>0</v>
      </c>
      <c r="J161" s="134">
        <f t="shared" si="11"/>
        <v>67.319999999999993</v>
      </c>
      <c r="K161" s="134">
        <f t="shared" si="12"/>
        <v>68</v>
      </c>
      <c r="L161" s="134"/>
      <c r="M161" s="269"/>
      <c r="N161" s="271"/>
      <c r="O161" s="270"/>
      <c r="P161" s="273">
        <v>0.01</v>
      </c>
      <c r="Q161" s="318"/>
      <c r="S161" s="258"/>
    </row>
    <row r="162" spans="1:19" ht="14.1" customHeight="1" x14ac:dyDescent="0.2">
      <c r="A162" s="282">
        <v>131</v>
      </c>
      <c r="B162" s="288" t="s">
        <v>32</v>
      </c>
      <c r="C162" s="45"/>
      <c r="D162" s="134">
        <f>'ESTIMASI  Ekspor Impor'!G162+'ESTIMASI  Ekspor Impor'!J162-'ESTIMASI  Ekspor Impor'!K162</f>
        <v>86.943115777277299</v>
      </c>
      <c r="E162" s="134">
        <f>'Pemakaian Dalam Negeri'!E174</f>
        <v>0</v>
      </c>
      <c r="F162" s="134">
        <f>'Pemakaian Dalam Negeri'!F174</f>
        <v>0</v>
      </c>
      <c r="G162" s="134">
        <f>'Pemakaian Dalam Negeri'!G174</f>
        <v>0</v>
      </c>
      <c r="H162" s="134">
        <f t="shared" si="10"/>
        <v>0.86943115777277302</v>
      </c>
      <c r="I162" s="134">
        <f>'Pemakaian Dalam Negeri'!I174</f>
        <v>0</v>
      </c>
      <c r="J162" s="134">
        <f t="shared" si="11"/>
        <v>86.073684619504533</v>
      </c>
      <c r="K162" s="134">
        <f t="shared" si="12"/>
        <v>86.943115777277299</v>
      </c>
      <c r="L162" s="134"/>
      <c r="M162" s="269"/>
      <c r="N162" s="271"/>
      <c r="O162" s="270"/>
      <c r="P162" s="273">
        <v>0.01</v>
      </c>
      <c r="Q162" s="318"/>
      <c r="S162" s="258"/>
    </row>
    <row r="163" spans="1:19" ht="14.1" customHeight="1" x14ac:dyDescent="0.2">
      <c r="A163" s="282">
        <v>132</v>
      </c>
      <c r="B163" s="288" t="s">
        <v>33</v>
      </c>
      <c r="C163" s="45"/>
      <c r="D163" s="134">
        <f>'ESTIMASI  Ekspor Impor'!G163+'ESTIMASI  Ekspor Impor'!J163-'ESTIMASI  Ekspor Impor'!K163</f>
        <v>103.33</v>
      </c>
      <c r="E163" s="134">
        <f>'Pemakaian Dalam Negeri'!E175</f>
        <v>0</v>
      </c>
      <c r="F163" s="134">
        <f>'Pemakaian Dalam Negeri'!F175</f>
        <v>0</v>
      </c>
      <c r="G163" s="134">
        <f>'Pemakaian Dalam Negeri'!G175</f>
        <v>0</v>
      </c>
      <c r="H163" s="134">
        <f t="shared" si="10"/>
        <v>1.0333000000000001</v>
      </c>
      <c r="I163" s="134">
        <f>'Pemakaian Dalam Negeri'!I175</f>
        <v>0</v>
      </c>
      <c r="J163" s="134">
        <f t="shared" si="11"/>
        <v>102.2967</v>
      </c>
      <c r="K163" s="134">
        <f t="shared" si="12"/>
        <v>103.33</v>
      </c>
      <c r="L163" s="134"/>
      <c r="M163" s="269"/>
      <c r="N163" s="269"/>
      <c r="O163" s="272"/>
      <c r="P163" s="273">
        <v>0.01</v>
      </c>
      <c r="Q163" s="319"/>
      <c r="S163" s="258"/>
    </row>
    <row r="164" spans="1:19" ht="14.1" customHeight="1" x14ac:dyDescent="0.2">
      <c r="A164" s="282">
        <v>133</v>
      </c>
      <c r="B164" s="288" t="s">
        <v>34</v>
      </c>
      <c r="C164" s="45"/>
      <c r="D164" s="134">
        <f>'ESTIMASI  Ekspor Impor'!G164+'ESTIMASI  Ekspor Impor'!J164-'ESTIMASI  Ekspor Impor'!K164</f>
        <v>0</v>
      </c>
      <c r="E164" s="134">
        <f>'Pemakaian Dalam Negeri'!E176</f>
        <v>0</v>
      </c>
      <c r="F164" s="134">
        <f>'Pemakaian Dalam Negeri'!F176</f>
        <v>0</v>
      </c>
      <c r="G164" s="134">
        <f>'Pemakaian Dalam Negeri'!G176</f>
        <v>0</v>
      </c>
      <c r="H164" s="134">
        <f t="shared" si="10"/>
        <v>0</v>
      </c>
      <c r="I164" s="134">
        <f>'Pemakaian Dalam Negeri'!I176</f>
        <v>0</v>
      </c>
      <c r="J164" s="134">
        <f t="shared" si="11"/>
        <v>0</v>
      </c>
      <c r="K164" s="134">
        <f t="shared" si="12"/>
        <v>0</v>
      </c>
      <c r="L164" s="134"/>
      <c r="M164" s="269"/>
      <c r="N164" s="269"/>
      <c r="O164" s="272"/>
      <c r="P164" s="273">
        <v>0.01</v>
      </c>
      <c r="Q164" s="319"/>
      <c r="S164" s="258"/>
    </row>
    <row r="165" spans="1:19" ht="14.1" customHeight="1" x14ac:dyDescent="0.2">
      <c r="A165" s="282">
        <v>134</v>
      </c>
      <c r="B165" s="288" t="s">
        <v>35</v>
      </c>
      <c r="C165" s="45"/>
      <c r="D165" s="134">
        <f>'ESTIMASI  Ekspor Impor'!G165+'ESTIMASI  Ekspor Impor'!J165-'ESTIMASI  Ekspor Impor'!K165</f>
        <v>0</v>
      </c>
      <c r="E165" s="134">
        <f>'Pemakaian Dalam Negeri'!E177</f>
        <v>0</v>
      </c>
      <c r="F165" s="134">
        <f>'Pemakaian Dalam Negeri'!F177</f>
        <v>0</v>
      </c>
      <c r="G165" s="134">
        <f>'Pemakaian Dalam Negeri'!G177</f>
        <v>0</v>
      </c>
      <c r="H165" s="134">
        <f t="shared" si="10"/>
        <v>0</v>
      </c>
      <c r="I165" s="134">
        <f>'Pemakaian Dalam Negeri'!I177</f>
        <v>0</v>
      </c>
      <c r="J165" s="134">
        <f t="shared" si="11"/>
        <v>0</v>
      </c>
      <c r="K165" s="134">
        <f t="shared" si="12"/>
        <v>0</v>
      </c>
      <c r="L165" s="134"/>
      <c r="M165" s="271"/>
      <c r="N165" s="271"/>
      <c r="O165" s="270"/>
      <c r="P165" s="273">
        <v>0.01</v>
      </c>
      <c r="Q165" s="319"/>
      <c r="S165" s="258"/>
    </row>
    <row r="166" spans="1:19" ht="14.1" customHeight="1" x14ac:dyDescent="0.2">
      <c r="A166" s="282">
        <v>135</v>
      </c>
      <c r="B166" s="288" t="s">
        <v>36</v>
      </c>
      <c r="C166" s="45"/>
      <c r="D166" s="134">
        <f>'ESTIMASI  Ekspor Impor'!G166+'ESTIMASI  Ekspor Impor'!J166-'ESTIMASI  Ekspor Impor'!K166</f>
        <v>0</v>
      </c>
      <c r="E166" s="134">
        <f>'Pemakaian Dalam Negeri'!E178</f>
        <v>0</v>
      </c>
      <c r="F166" s="134">
        <f>'Pemakaian Dalam Negeri'!F178</f>
        <v>0</v>
      </c>
      <c r="G166" s="134">
        <f>'Pemakaian Dalam Negeri'!G178</f>
        <v>0</v>
      </c>
      <c r="H166" s="134">
        <f t="shared" si="10"/>
        <v>0</v>
      </c>
      <c r="I166" s="134">
        <f>'Pemakaian Dalam Negeri'!I178</f>
        <v>0</v>
      </c>
      <c r="J166" s="134">
        <f t="shared" si="11"/>
        <v>0</v>
      </c>
      <c r="K166" s="134">
        <f t="shared" si="12"/>
        <v>0</v>
      </c>
      <c r="L166" s="134"/>
      <c r="M166" s="271"/>
      <c r="N166" s="271"/>
      <c r="O166" s="270"/>
      <c r="P166" s="273">
        <v>0.01</v>
      </c>
      <c r="Q166" s="319"/>
      <c r="S166" s="258"/>
    </row>
    <row r="167" spans="1:19" ht="14.1" customHeight="1" x14ac:dyDescent="0.2">
      <c r="A167" s="282">
        <v>136</v>
      </c>
      <c r="B167" s="288" t="s">
        <v>37</v>
      </c>
      <c r="C167" s="45"/>
      <c r="D167" s="134">
        <f>'ESTIMASI  Ekspor Impor'!G167+'ESTIMASI  Ekspor Impor'!J167-'ESTIMASI  Ekspor Impor'!K167</f>
        <v>0</v>
      </c>
      <c r="E167" s="134">
        <f>'Pemakaian Dalam Negeri'!E179</f>
        <v>0</v>
      </c>
      <c r="F167" s="134">
        <f>'Pemakaian Dalam Negeri'!F179</f>
        <v>0</v>
      </c>
      <c r="G167" s="134">
        <f>'Pemakaian Dalam Negeri'!G179</f>
        <v>0</v>
      </c>
      <c r="H167" s="134">
        <f t="shared" si="10"/>
        <v>0</v>
      </c>
      <c r="I167" s="134">
        <f>'Pemakaian Dalam Negeri'!I179</f>
        <v>0</v>
      </c>
      <c r="J167" s="134">
        <f t="shared" si="11"/>
        <v>0</v>
      </c>
      <c r="K167" s="134">
        <f t="shared" si="12"/>
        <v>0</v>
      </c>
      <c r="L167" s="134"/>
      <c r="M167" s="269"/>
      <c r="N167" s="271"/>
      <c r="O167" s="270"/>
      <c r="P167" s="273">
        <v>0.01</v>
      </c>
      <c r="Q167" s="319"/>
      <c r="S167" s="258"/>
    </row>
    <row r="168" spans="1:19" ht="14.1" customHeight="1" x14ac:dyDescent="0.2">
      <c r="A168" s="282">
        <v>137</v>
      </c>
      <c r="B168" s="288" t="s">
        <v>38</v>
      </c>
      <c r="C168" s="45"/>
      <c r="D168" s="134">
        <f>'ESTIMASI  Ekspor Impor'!G168+'ESTIMASI  Ekspor Impor'!J168-'ESTIMASI  Ekspor Impor'!K168</f>
        <v>0</v>
      </c>
      <c r="E168" s="134">
        <f>'Pemakaian Dalam Negeri'!E180</f>
        <v>0</v>
      </c>
      <c r="F168" s="134">
        <f>'Pemakaian Dalam Negeri'!F180</f>
        <v>0</v>
      </c>
      <c r="G168" s="134">
        <f>'Pemakaian Dalam Negeri'!G180</f>
        <v>0</v>
      </c>
      <c r="H168" s="134">
        <f t="shared" si="10"/>
        <v>0</v>
      </c>
      <c r="I168" s="134">
        <f>'Pemakaian Dalam Negeri'!I180</f>
        <v>0</v>
      </c>
      <c r="J168" s="134">
        <f t="shared" si="11"/>
        <v>0</v>
      </c>
      <c r="K168" s="134">
        <f t="shared" si="12"/>
        <v>0</v>
      </c>
      <c r="L168" s="134"/>
      <c r="M168" s="269"/>
      <c r="N168" s="271"/>
      <c r="O168" s="270"/>
      <c r="P168" s="273">
        <v>0.01</v>
      </c>
      <c r="Q168" s="319"/>
      <c r="S168" s="258"/>
    </row>
    <row r="169" spans="1:19" ht="14.1" customHeight="1" x14ac:dyDescent="0.2">
      <c r="A169" s="282">
        <v>138</v>
      </c>
      <c r="B169" s="288" t="s">
        <v>512</v>
      </c>
      <c r="C169" s="45"/>
      <c r="D169" s="134">
        <f>'ESTIMASI  Ekspor Impor'!G169+'ESTIMASI  Ekspor Impor'!J169-'ESTIMASI  Ekspor Impor'!K169</f>
        <v>2118.0741650550617</v>
      </c>
      <c r="E169" s="134">
        <f>'Pemakaian Dalam Negeri'!E181</f>
        <v>0</v>
      </c>
      <c r="F169" s="134">
        <f>'Pemakaian Dalam Negeri'!F181</f>
        <v>0</v>
      </c>
      <c r="G169" s="134">
        <f>'Pemakaian Dalam Negeri'!G181</f>
        <v>0</v>
      </c>
      <c r="H169" s="134">
        <f t="shared" si="10"/>
        <v>10.590370825275309</v>
      </c>
      <c r="I169" s="134">
        <f>'Pemakaian Dalam Negeri'!I181</f>
        <v>0</v>
      </c>
      <c r="J169" s="134">
        <f t="shared" si="11"/>
        <v>2107.4837942297863</v>
      </c>
      <c r="K169" s="134">
        <f t="shared" si="12"/>
        <v>2118.0741650550617</v>
      </c>
      <c r="L169" s="134"/>
      <c r="M169" s="269"/>
      <c r="N169" s="271"/>
      <c r="O169" s="270"/>
      <c r="P169" s="270">
        <v>5.0000000000000001E-3</v>
      </c>
      <c r="Q169" s="319"/>
      <c r="S169" s="258"/>
    </row>
    <row r="170" spans="1:19" ht="14.1" customHeight="1" x14ac:dyDescent="0.2">
      <c r="A170" s="298"/>
      <c r="B170" s="325"/>
      <c r="C170" s="282"/>
      <c r="D170" s="134"/>
      <c r="E170" s="134"/>
      <c r="F170" s="134"/>
      <c r="G170" s="134"/>
      <c r="H170" s="134"/>
      <c r="I170" s="134"/>
      <c r="J170" s="134"/>
      <c r="K170" s="134"/>
      <c r="L170" s="134"/>
      <c r="M170" s="269"/>
      <c r="N170" s="271"/>
      <c r="O170" s="270"/>
      <c r="P170" s="270"/>
      <c r="Q170" s="319"/>
      <c r="S170" s="258"/>
    </row>
    <row r="171" spans="1:19" ht="14.1" customHeight="1" x14ac:dyDescent="0.2">
      <c r="A171" s="288" t="s">
        <v>39</v>
      </c>
      <c r="B171" s="288"/>
      <c r="C171" s="282"/>
      <c r="D171" s="134"/>
      <c r="E171" s="134"/>
      <c r="F171" s="134"/>
      <c r="G171" s="134"/>
      <c r="H171" s="134"/>
      <c r="I171" s="134"/>
      <c r="J171" s="134"/>
      <c r="K171" s="134"/>
      <c r="L171" s="134"/>
      <c r="M171" s="271"/>
      <c r="N171" s="271"/>
      <c r="O171" s="270"/>
      <c r="P171" s="270"/>
      <c r="Q171" s="319"/>
      <c r="S171" s="258"/>
    </row>
    <row r="172" spans="1:19" ht="14.1" customHeight="1" x14ac:dyDescent="0.2">
      <c r="A172" s="288"/>
      <c r="B172" s="288"/>
      <c r="C172" s="299" t="s">
        <v>40</v>
      </c>
      <c r="D172" s="134"/>
      <c r="E172" s="134"/>
      <c r="F172" s="134"/>
      <c r="G172" s="134"/>
      <c r="H172" s="134"/>
      <c r="I172" s="134"/>
      <c r="J172" s="134"/>
      <c r="K172" s="134"/>
      <c r="L172" s="174"/>
      <c r="M172" s="271"/>
      <c r="N172" s="271"/>
      <c r="O172" s="270"/>
      <c r="P172" s="270"/>
      <c r="Q172" s="319"/>
      <c r="S172" s="258"/>
    </row>
    <row r="173" spans="1:19" ht="14.1" customHeight="1" x14ac:dyDescent="0.2">
      <c r="A173" s="282">
        <v>139</v>
      </c>
      <c r="B173" s="288" t="s">
        <v>513</v>
      </c>
      <c r="C173" s="45"/>
      <c r="D173" s="134">
        <f>'ESTIMASI  Ekspor Impor'!G173+'ESTIMASI  Ekspor Impor'!J173-'ESTIMASI  Ekspor Impor'!K173</f>
        <v>0</v>
      </c>
      <c r="E173" s="134">
        <f>'Pemakaian Dalam Negeri'!E185</f>
        <v>0</v>
      </c>
      <c r="F173" s="134">
        <f>'Pemakaian Dalam Negeri'!F185</f>
        <v>0</v>
      </c>
      <c r="G173" s="134">
        <f>'Pemakaian Dalam Negeri'!G185</f>
        <v>0</v>
      </c>
      <c r="H173" s="134">
        <f>'Pemakaian Dalam Negeri'!H185</f>
        <v>0</v>
      </c>
      <c r="I173" s="134">
        <f>'Pemakaian Dalam Negeri'!I185</f>
        <v>0</v>
      </c>
      <c r="J173" s="134">
        <f t="shared" ref="J173:J179" si="13">D173-E173-F173-G173-H173-I173</f>
        <v>0</v>
      </c>
      <c r="K173" s="134">
        <f t="shared" ref="K173:K179" si="14">E173+F173+G173+H173+I173+J173</f>
        <v>0</v>
      </c>
      <c r="L173" s="174"/>
      <c r="M173" s="271"/>
      <c r="N173" s="271"/>
      <c r="O173" s="270"/>
      <c r="P173" s="270"/>
      <c r="Q173" s="322"/>
      <c r="S173" s="258"/>
    </row>
    <row r="174" spans="1:19" ht="14.1" customHeight="1" x14ac:dyDescent="0.2">
      <c r="A174" s="282">
        <v>140</v>
      </c>
      <c r="B174" s="288" t="s">
        <v>514</v>
      </c>
      <c r="C174" s="45"/>
      <c r="D174" s="134">
        <f>'ESTIMASI  Ekspor Impor'!G174+'ESTIMASI  Ekspor Impor'!J174-'ESTIMASI  Ekspor Impor'!K174</f>
        <v>0</v>
      </c>
      <c r="E174" s="134">
        <f>'Pemakaian Dalam Negeri'!E186</f>
        <v>0</v>
      </c>
      <c r="F174" s="134">
        <f>'Pemakaian Dalam Negeri'!F186</f>
        <v>0</v>
      </c>
      <c r="G174" s="134">
        <f>'Pemakaian Dalam Negeri'!G186</f>
        <v>0</v>
      </c>
      <c r="H174" s="134">
        <f>D174*P174</f>
        <v>0</v>
      </c>
      <c r="I174" s="134">
        <f>'Pemakaian Dalam Negeri'!I186</f>
        <v>0</v>
      </c>
      <c r="J174" s="134">
        <f t="shared" si="13"/>
        <v>0</v>
      </c>
      <c r="K174" s="134">
        <f t="shared" si="14"/>
        <v>0</v>
      </c>
      <c r="L174" s="174"/>
      <c r="M174" s="271"/>
      <c r="N174" s="271"/>
      <c r="O174" s="270"/>
      <c r="P174" s="270">
        <v>1.5600000000000001E-2</v>
      </c>
      <c r="Q174" s="322"/>
      <c r="S174" s="258"/>
    </row>
    <row r="175" spans="1:19" ht="14.1" customHeight="1" x14ac:dyDescent="0.2">
      <c r="A175" s="282">
        <v>141</v>
      </c>
      <c r="B175" s="288" t="s">
        <v>515</v>
      </c>
      <c r="C175" s="45"/>
      <c r="D175" s="134">
        <f>'ESTIMASI  Ekspor Impor'!G175+'ESTIMASI  Ekspor Impor'!J175-'ESTIMASI  Ekspor Impor'!K175</f>
        <v>5860</v>
      </c>
      <c r="E175" s="134">
        <f>'Pemakaian Dalam Negeri'!E187</f>
        <v>0</v>
      </c>
      <c r="F175" s="134">
        <f>'Pemakaian Dalam Negeri'!F187</f>
        <v>0</v>
      </c>
      <c r="G175" s="134">
        <f>'Pemakaian Dalam Negeri'!G187</f>
        <v>0</v>
      </c>
      <c r="H175" s="134">
        <f>D175*P175</f>
        <v>90.83</v>
      </c>
      <c r="I175" s="134">
        <f>'Pemakaian Dalam Negeri'!I187</f>
        <v>0</v>
      </c>
      <c r="J175" s="134">
        <f t="shared" si="13"/>
        <v>5769.17</v>
      </c>
      <c r="K175" s="134">
        <f t="shared" si="14"/>
        <v>5860</v>
      </c>
      <c r="L175" s="174"/>
      <c r="M175" s="271"/>
      <c r="N175" s="271"/>
      <c r="O175" s="270"/>
      <c r="P175" s="270">
        <v>1.55E-2</v>
      </c>
      <c r="Q175" s="322"/>
      <c r="S175" s="258"/>
    </row>
    <row r="176" spans="1:19" ht="14.1" customHeight="1" x14ac:dyDescent="0.2">
      <c r="A176" s="282">
        <v>142</v>
      </c>
      <c r="B176" s="288" t="s">
        <v>41</v>
      </c>
      <c r="C176" s="45"/>
      <c r="D176" s="134">
        <f>'ESTIMASI  Ekspor Impor'!G176+'ESTIMASI  Ekspor Impor'!J176-'ESTIMASI  Ekspor Impor'!K176</f>
        <v>0</v>
      </c>
      <c r="E176" s="134">
        <f>'Pemakaian Dalam Negeri'!E188</f>
        <v>0</v>
      </c>
      <c r="F176" s="134">
        <f>'Pemakaian Dalam Negeri'!F188</f>
        <v>0</v>
      </c>
      <c r="G176" s="134">
        <f>'Pemakaian Dalam Negeri'!G188</f>
        <v>0</v>
      </c>
      <c r="H176" s="134">
        <f>'Pemakaian Dalam Negeri'!H188</f>
        <v>0</v>
      </c>
      <c r="I176" s="134">
        <f>'Pemakaian Dalam Negeri'!I188</f>
        <v>0</v>
      </c>
      <c r="J176" s="134">
        <f t="shared" si="13"/>
        <v>0</v>
      </c>
      <c r="K176" s="134">
        <f t="shared" si="14"/>
        <v>0</v>
      </c>
      <c r="L176" s="174"/>
      <c r="M176" s="271"/>
      <c r="N176" s="271"/>
      <c r="O176" s="270"/>
      <c r="P176" s="270"/>
      <c r="Q176" s="322"/>
      <c r="S176" s="258"/>
    </row>
    <row r="177" spans="1:19" ht="14.1" customHeight="1" x14ac:dyDescent="0.2">
      <c r="A177" s="282">
        <v>143</v>
      </c>
      <c r="B177" s="288" t="s">
        <v>42</v>
      </c>
      <c r="C177" s="45"/>
      <c r="D177" s="134">
        <f>'ESTIMASI  Ekspor Impor'!G177+'ESTIMASI  Ekspor Impor'!J177-'ESTIMASI  Ekspor Impor'!K177</f>
        <v>0</v>
      </c>
      <c r="E177" s="134">
        <f>'Pemakaian Dalam Negeri'!E189</f>
        <v>0</v>
      </c>
      <c r="F177" s="134">
        <f>'Pemakaian Dalam Negeri'!F189</f>
        <v>0</v>
      </c>
      <c r="G177" s="134">
        <f>'Pemakaian Dalam Negeri'!G189</f>
        <v>0</v>
      </c>
      <c r="H177" s="134">
        <f>'Pemakaian Dalam Negeri'!H189</f>
        <v>0</v>
      </c>
      <c r="I177" s="134">
        <f>'Pemakaian Dalam Negeri'!I189</f>
        <v>0</v>
      </c>
      <c r="J177" s="134">
        <f t="shared" si="13"/>
        <v>0</v>
      </c>
      <c r="K177" s="134">
        <f t="shared" si="14"/>
        <v>0</v>
      </c>
      <c r="L177" s="174"/>
      <c r="M177" s="271"/>
      <c r="N177" s="271"/>
      <c r="O177" s="270"/>
      <c r="P177" s="270"/>
      <c r="Q177" s="322"/>
      <c r="S177" s="258"/>
    </row>
    <row r="178" spans="1:19" ht="14.1" customHeight="1" x14ac:dyDescent="0.2">
      <c r="A178" s="282">
        <v>144</v>
      </c>
      <c r="B178" s="288" t="s">
        <v>43</v>
      </c>
      <c r="C178" s="45"/>
      <c r="D178" s="134">
        <f>'ESTIMASI  Ekspor Impor'!G178+'ESTIMASI  Ekspor Impor'!J178-'ESTIMASI  Ekspor Impor'!K178</f>
        <v>0</v>
      </c>
      <c r="E178" s="134">
        <f>'Pemakaian Dalam Negeri'!E190</f>
        <v>0</v>
      </c>
      <c r="F178" s="134">
        <f>'Pemakaian Dalam Negeri'!F190</f>
        <v>0</v>
      </c>
      <c r="G178" s="134">
        <f>'Pemakaian Dalam Negeri'!G190</f>
        <v>0</v>
      </c>
      <c r="H178" s="134">
        <f>'Pemakaian Dalam Negeri'!H190</f>
        <v>0</v>
      </c>
      <c r="I178" s="134">
        <f>'Pemakaian Dalam Negeri'!I190</f>
        <v>0</v>
      </c>
      <c r="J178" s="134">
        <f t="shared" si="13"/>
        <v>0</v>
      </c>
      <c r="K178" s="134">
        <f t="shared" si="14"/>
        <v>0</v>
      </c>
      <c r="L178" s="174"/>
      <c r="M178" s="271"/>
      <c r="N178" s="269"/>
      <c r="O178" s="314"/>
      <c r="P178" s="270"/>
      <c r="Q178" s="322"/>
      <c r="S178" s="258"/>
    </row>
    <row r="179" spans="1:19" ht="14.1" customHeight="1" x14ac:dyDescent="0.2">
      <c r="A179" s="282">
        <v>145</v>
      </c>
      <c r="B179" s="288" t="s">
        <v>44</v>
      </c>
      <c r="C179" s="45"/>
      <c r="D179" s="134">
        <f>'ESTIMASI  Ekspor Impor'!G179+'ESTIMASI  Ekspor Impor'!J179-'ESTIMASI  Ekspor Impor'!K179</f>
        <v>0</v>
      </c>
      <c r="E179" s="134">
        <f>'Pemakaian Dalam Negeri'!E191</f>
        <v>0</v>
      </c>
      <c r="F179" s="134">
        <f>'Pemakaian Dalam Negeri'!F191</f>
        <v>0</v>
      </c>
      <c r="G179" s="134">
        <f>'Pemakaian Dalam Negeri'!G191</f>
        <v>0</v>
      </c>
      <c r="H179" s="134">
        <f>'Pemakaian Dalam Negeri'!H191</f>
        <v>0</v>
      </c>
      <c r="I179" s="134">
        <f>'Pemakaian Dalam Negeri'!I191</f>
        <v>0</v>
      </c>
      <c r="J179" s="134">
        <f t="shared" si="13"/>
        <v>0</v>
      </c>
      <c r="K179" s="134">
        <f t="shared" si="14"/>
        <v>0</v>
      </c>
      <c r="L179" s="174"/>
      <c r="M179" s="271"/>
      <c r="N179" s="269"/>
      <c r="O179" s="314"/>
      <c r="P179" s="270"/>
      <c r="Q179" s="322"/>
      <c r="S179" s="258"/>
    </row>
    <row r="180" spans="1:19" ht="14.1" customHeight="1" x14ac:dyDescent="0.2">
      <c r="A180" s="282"/>
      <c r="B180" s="288"/>
      <c r="C180" s="45"/>
      <c r="D180" s="134"/>
      <c r="E180" s="134"/>
      <c r="F180" s="134"/>
      <c r="G180" s="134"/>
      <c r="H180" s="134"/>
      <c r="I180" s="134"/>
      <c r="J180" s="134"/>
      <c r="K180" s="134"/>
      <c r="L180" s="174"/>
      <c r="M180" s="271"/>
      <c r="N180" s="269"/>
      <c r="O180" s="314"/>
      <c r="P180" s="270"/>
      <c r="Q180" s="322"/>
      <c r="S180" s="258"/>
    </row>
    <row r="181" spans="1:19" ht="14.1" customHeight="1" x14ac:dyDescent="0.2">
      <c r="A181" s="282">
        <v>146</v>
      </c>
      <c r="B181" s="288" t="s">
        <v>516</v>
      </c>
      <c r="C181" s="45"/>
      <c r="D181" s="134">
        <f>'ESTIMASI  Ekspor Impor'!G181+'ESTIMASI  Ekspor Impor'!J181-'ESTIMASI  Ekspor Impor'!K181</f>
        <v>162.37468295006403</v>
      </c>
      <c r="E181" s="134">
        <f>'Pemakaian Dalam Negeri'!E193</f>
        <v>0</v>
      </c>
      <c r="F181" s="134">
        <f>'Pemakaian Dalam Negeri'!F193</f>
        <v>0</v>
      </c>
      <c r="G181" s="134">
        <f>'Pemakaian Dalam Negeri'!G193</f>
        <v>0</v>
      </c>
      <c r="H181" s="134">
        <f>'Pemakaian Dalam Negeri'!H193</f>
        <v>0</v>
      </c>
      <c r="I181" s="134">
        <f>'Pemakaian Dalam Negeri'!I193</f>
        <v>0</v>
      </c>
      <c r="J181" s="134">
        <f>D181-E181-F181-G181-H181-I181</f>
        <v>162.37468295006403</v>
      </c>
      <c r="K181" s="134">
        <f>E181+F181+G181+H181+I181+J181</f>
        <v>162.37468295006403</v>
      </c>
      <c r="L181" s="174"/>
      <c r="M181" s="269"/>
      <c r="N181" s="269"/>
      <c r="O181" s="314"/>
      <c r="P181" s="270"/>
      <c r="Q181" s="322"/>
      <c r="S181" s="258"/>
    </row>
    <row r="182" spans="1:19" ht="14.1" customHeight="1" x14ac:dyDescent="0.2">
      <c r="A182" s="282">
        <v>147</v>
      </c>
      <c r="B182" s="288" t="s">
        <v>517</v>
      </c>
      <c r="C182" s="45"/>
      <c r="D182" s="134">
        <f>'ESTIMASI  Ekspor Impor'!G182+'ESTIMASI  Ekspor Impor'!J182-'ESTIMASI  Ekspor Impor'!K182</f>
        <v>19.068826405530761</v>
      </c>
      <c r="E182" s="134">
        <f>'Pemakaian Dalam Negeri'!E194</f>
        <v>0</v>
      </c>
      <c r="F182" s="134">
        <f>'Pemakaian Dalam Negeri'!F194</f>
        <v>0</v>
      </c>
      <c r="G182" s="134">
        <f>'Pemakaian Dalam Negeri'!G194</f>
        <v>0</v>
      </c>
      <c r="H182" s="134">
        <f>'Pemakaian Dalam Negeri'!H194</f>
        <v>0</v>
      </c>
      <c r="I182" s="134">
        <f>'Pemakaian Dalam Negeri'!I194</f>
        <v>0</v>
      </c>
      <c r="J182" s="134">
        <f>D182-E182-F182-G182-H182-I182</f>
        <v>19.068826405530761</v>
      </c>
      <c r="K182" s="134">
        <f>E182+F182+G182+H182+I182+J182</f>
        <v>19.068826405530761</v>
      </c>
      <c r="L182" s="174"/>
      <c r="M182" s="269"/>
      <c r="N182" s="269"/>
      <c r="O182" s="314"/>
      <c r="P182" s="270"/>
      <c r="Q182" s="322"/>
    </row>
    <row r="183" spans="1:19" ht="14.1" customHeight="1" x14ac:dyDescent="0.2">
      <c r="A183" s="282">
        <v>148</v>
      </c>
      <c r="B183" s="288" t="s">
        <v>518</v>
      </c>
      <c r="C183" s="45"/>
      <c r="D183" s="134">
        <f>'ESTIMASI  Ekspor Impor'!G183+'ESTIMASI  Ekspor Impor'!J183-'ESTIMASI  Ekspor Impor'!K183</f>
        <v>5.0385487346193996</v>
      </c>
      <c r="E183" s="134">
        <f>'Pemakaian Dalam Negeri'!E195</f>
        <v>0</v>
      </c>
      <c r="F183" s="134">
        <f>'Pemakaian Dalam Negeri'!F195</f>
        <v>0</v>
      </c>
      <c r="G183" s="134">
        <f>'Pemakaian Dalam Negeri'!G195</f>
        <v>0</v>
      </c>
      <c r="H183" s="134">
        <f>'Pemakaian Dalam Negeri'!H195</f>
        <v>0</v>
      </c>
      <c r="I183" s="134">
        <f>'Pemakaian Dalam Negeri'!I195</f>
        <v>0</v>
      </c>
      <c r="J183" s="134">
        <f>D183-E183-F183-G183-H183-I183</f>
        <v>5.0385487346193996</v>
      </c>
      <c r="K183" s="134">
        <f>E183+F183+G183+H183+I183+J183</f>
        <v>5.0385487346193996</v>
      </c>
      <c r="L183" s="174"/>
      <c r="M183" s="269"/>
      <c r="N183" s="269"/>
      <c r="O183" s="314"/>
      <c r="P183" s="270"/>
      <c r="Q183" s="322"/>
    </row>
    <row r="184" spans="1:19" ht="14.1" customHeight="1" x14ac:dyDescent="0.2">
      <c r="A184" s="282">
        <v>149</v>
      </c>
      <c r="B184" s="288" t="s">
        <v>519</v>
      </c>
      <c r="C184" s="45"/>
      <c r="D184" s="134">
        <f>'ESTIMASI  Ekspor Impor'!G184+'ESTIMASI  Ekspor Impor'!J184-'ESTIMASI  Ekspor Impor'!K184</f>
        <v>0</v>
      </c>
      <c r="E184" s="134">
        <f>'Pemakaian Dalam Negeri'!E196</f>
        <v>0</v>
      </c>
      <c r="F184" s="134">
        <f>'Pemakaian Dalam Negeri'!F196</f>
        <v>0</v>
      </c>
      <c r="G184" s="134">
        <f>'Pemakaian Dalam Negeri'!G196</f>
        <v>0</v>
      </c>
      <c r="H184" s="134">
        <f>'Pemakaian Dalam Negeri'!H196</f>
        <v>0</v>
      </c>
      <c r="I184" s="134">
        <f>'Pemakaian Dalam Negeri'!I196</f>
        <v>0</v>
      </c>
      <c r="J184" s="134">
        <f>D184-E184-F184-G184-H184-I184</f>
        <v>0</v>
      </c>
      <c r="K184" s="134">
        <f>E184+F184+G184+H184+I184+J184</f>
        <v>0</v>
      </c>
      <c r="L184" s="174"/>
      <c r="M184" s="269"/>
      <c r="N184" s="314"/>
      <c r="O184" s="314"/>
      <c r="P184" s="314"/>
      <c r="Q184" s="322"/>
    </row>
    <row r="185" spans="1:19" ht="14.1" customHeight="1" x14ac:dyDescent="0.2">
      <c r="A185" s="282">
        <v>150</v>
      </c>
      <c r="B185" s="288" t="s">
        <v>520</v>
      </c>
      <c r="C185" s="45"/>
      <c r="D185" s="134">
        <f>'ESTIMASI  Ekspor Impor'!G185+'ESTIMASI  Ekspor Impor'!J185-'ESTIMASI  Ekspor Impor'!K185</f>
        <v>0</v>
      </c>
      <c r="E185" s="134">
        <f>'Pemakaian Dalam Negeri'!E197</f>
        <v>0</v>
      </c>
      <c r="F185" s="134">
        <f>'Pemakaian Dalam Negeri'!F197</f>
        <v>0</v>
      </c>
      <c r="G185" s="134">
        <f>'Pemakaian Dalam Negeri'!G197</f>
        <v>0</v>
      </c>
      <c r="H185" s="134">
        <f>'Pemakaian Dalam Negeri'!H197</f>
        <v>0</v>
      </c>
      <c r="I185" s="134">
        <f>'Pemakaian Dalam Negeri'!I197</f>
        <v>0</v>
      </c>
      <c r="J185" s="134">
        <f>D185-E185-F185-G185-H185-I185</f>
        <v>0</v>
      </c>
      <c r="K185" s="134">
        <f>E185+F185+G185+H185+I185+J185</f>
        <v>0</v>
      </c>
      <c r="L185" s="174"/>
      <c r="M185" s="269"/>
      <c r="N185" s="314"/>
      <c r="O185" s="314"/>
      <c r="P185" s="314"/>
      <c r="Q185" s="322"/>
    </row>
    <row r="186" spans="1:19" ht="14.1" customHeight="1" x14ac:dyDescent="0.2">
      <c r="C186" s="255"/>
    </row>
    <row r="187" spans="1:19" ht="14.1" customHeight="1" x14ac:dyDescent="0.2"/>
    <row r="188" spans="1:19" ht="14.1" customHeight="1" x14ac:dyDescent="0.2"/>
    <row r="189" spans="1:19" ht="14.1" customHeight="1" x14ac:dyDescent="0.2"/>
    <row r="190" spans="1:19" ht="14.1" customHeight="1" x14ac:dyDescent="0.2"/>
  </sheetData>
  <sheetProtection algorithmName="SHA-512" hashValue="xLFEIFttepv5RdLyTpXEAA0s2v4RdeH0Zm23UcvqkA1jnAIqfchIfwIos5p3evFzz+au8WEy3jZSUmPEug8reQ==" saltValue="PCw5++RdfF9+NSYhqRYZfQ==" spinCount="100000" sheet="1" objects="1" scenarios="1"/>
  <mergeCells count="35">
    <mergeCell ref="A2:J2"/>
    <mergeCell ref="M2:R2"/>
    <mergeCell ref="A3:J3"/>
    <mergeCell ref="M3:R3"/>
    <mergeCell ref="D4:E4"/>
    <mergeCell ref="M4:Q4"/>
    <mergeCell ref="I4:J4"/>
    <mergeCell ref="R5:R10"/>
    <mergeCell ref="S5:S10"/>
    <mergeCell ref="D6:D10"/>
    <mergeCell ref="E6:E7"/>
    <mergeCell ref="F6:F7"/>
    <mergeCell ref="H6:H7"/>
    <mergeCell ref="I6:I7"/>
    <mergeCell ref="M6:M7"/>
    <mergeCell ref="N6:N7"/>
    <mergeCell ref="P6:P7"/>
    <mergeCell ref="H8:H10"/>
    <mergeCell ref="Q8:Q10"/>
    <mergeCell ref="A11:C11"/>
    <mergeCell ref="I8:I10"/>
    <mergeCell ref="J8:J10"/>
    <mergeCell ref="M8:M10"/>
    <mergeCell ref="K5:K10"/>
    <mergeCell ref="A5:C7"/>
    <mergeCell ref="E5:J5"/>
    <mergeCell ref="M5:Q5"/>
    <mergeCell ref="N8:N10"/>
    <mergeCell ref="O8:O10"/>
    <mergeCell ref="P8:P10"/>
    <mergeCell ref="A8:C10"/>
    <mergeCell ref="E8:E10"/>
    <mergeCell ref="F8:F10"/>
    <mergeCell ref="G8:G10"/>
    <mergeCell ref="Q6:Q7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62" firstPageNumber="58" fitToHeight="0" pageOrder="overThenDown" orientation="portrait" useFirstPageNumber="1" horizontalDpi="360" verticalDpi="360" r:id="rId1"/>
  <headerFooter>
    <oddFooter>&amp;LNeraca Bahan Makanan  2016-2018&amp;C&amp;P</oddFooter>
  </headerFooter>
  <rowBreaks count="4" manualBreakCount="4">
    <brk id="42" max="17" man="1"/>
    <brk id="75" max="17" man="1"/>
    <brk id="107" max="17" man="1"/>
    <brk id="123" max="17" man="1"/>
  </rowBreaks>
  <colBreaks count="1" manualBreakCount="1">
    <brk id="4" max="202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Q192"/>
  <sheetViews>
    <sheetView zoomScale="80" zoomScaleNormal="100" zoomScaleSheetLayoutView="93" workbookViewId="0">
      <pane xSplit="3" ySplit="11" topLeftCell="D169" activePane="bottomRight" state="frozen"/>
      <selection activeCell="C105" sqref="C105"/>
      <selection pane="topRight" activeCell="C105" sqref="C105"/>
      <selection pane="bottomLeft" activeCell="C105" sqref="C105"/>
      <selection pane="bottomRight" activeCell="A4" sqref="A4"/>
    </sheetView>
  </sheetViews>
  <sheetFormatPr defaultColWidth="9" defaultRowHeight="12.75" x14ac:dyDescent="0.2"/>
  <cols>
    <col min="1" max="1" width="3.5703125" style="327" customWidth="1"/>
    <col min="2" max="2" width="1.42578125" style="60" customWidth="1"/>
    <col min="3" max="3" width="31.85546875" style="60" customWidth="1"/>
    <col min="4" max="14" width="11.7109375" style="62" customWidth="1"/>
    <col min="15" max="16" width="10.42578125" style="63" customWidth="1"/>
    <col min="17" max="17" width="11.28515625" style="62" customWidth="1"/>
    <col min="18" max="18" width="11" style="63" bestFit="1" customWidth="1"/>
    <col min="19" max="19" width="11.42578125" style="63" bestFit="1" customWidth="1"/>
    <col min="20" max="22" width="9" style="376"/>
    <col min="23" max="23" width="9.85546875" style="376" customWidth="1"/>
    <col min="24" max="29" width="9" style="65" hidden="1" customWidth="1"/>
    <col min="30" max="34" width="4.5703125" style="60" hidden="1" customWidth="1"/>
    <col min="35" max="229" width="9" style="60"/>
    <col min="230" max="230" width="1.42578125" style="60" customWidth="1"/>
    <col min="231" max="231" width="31.85546875" style="60" customWidth="1"/>
    <col min="232" max="232" width="8.28515625" style="60" customWidth="1"/>
    <col min="233" max="233" width="9.7109375" style="60" customWidth="1"/>
    <col min="234" max="234" width="8.28515625" style="60" customWidth="1"/>
    <col min="235" max="235" width="6.5703125" style="60" customWidth="1"/>
    <col min="236" max="236" width="14" style="60" customWidth="1"/>
    <col min="237" max="237" width="6.7109375" style="60" customWidth="1"/>
    <col min="238" max="238" width="8.85546875" style="60" customWidth="1"/>
    <col min="239" max="239" width="7.7109375" style="60" customWidth="1"/>
    <col min="240" max="240" width="7.28515625" style="60" customWidth="1"/>
    <col min="241" max="241" width="7.7109375" style="60" customWidth="1"/>
    <col min="242" max="242" width="8.28515625" style="60" customWidth="1"/>
    <col min="243" max="244" width="6.7109375" style="60" customWidth="1"/>
    <col min="245" max="245" width="8.85546875" style="60" customWidth="1"/>
    <col min="246" max="247" width="7.5703125" style="60" customWidth="1"/>
    <col min="248" max="248" width="7.7109375" style="60" customWidth="1"/>
    <col min="249" max="250" width="8.28515625" style="60" customWidth="1"/>
    <col min="251" max="251" width="6.28515625" style="60" customWidth="1"/>
    <col min="252" max="253" width="8.7109375" style="60" customWidth="1"/>
    <col min="254" max="254" width="9.5703125" style="60" customWidth="1"/>
    <col min="255" max="255" width="8.7109375" style="60" customWidth="1"/>
    <col min="256" max="256" width="14.5703125" style="60" customWidth="1"/>
    <col min="257" max="257" width="8.7109375" style="60" customWidth="1"/>
    <col min="258" max="258" width="10.42578125" style="60" customWidth="1"/>
    <col min="259" max="261" width="8.7109375" style="60" customWidth="1"/>
    <col min="262" max="262" width="9" style="60"/>
    <col min="263" max="264" width="8.7109375" style="60" customWidth="1"/>
    <col min="265" max="265" width="4.28515625" style="60" customWidth="1"/>
    <col min="266" max="266" width="7" style="60" customWidth="1"/>
    <col min="267" max="267" width="4.28515625" style="60" customWidth="1"/>
    <col min="268" max="268" width="7.7109375" style="60" customWidth="1"/>
    <col min="269" max="485" width="9" style="60"/>
    <col min="486" max="486" width="1.42578125" style="60" customWidth="1"/>
    <col min="487" max="487" width="31.85546875" style="60" customWidth="1"/>
    <col min="488" max="488" width="8.28515625" style="60" customWidth="1"/>
    <col min="489" max="489" width="9.7109375" style="60" customWidth="1"/>
    <col min="490" max="490" width="8.28515625" style="60" customWidth="1"/>
    <col min="491" max="491" width="6.5703125" style="60" customWidth="1"/>
    <col min="492" max="492" width="14" style="60" customWidth="1"/>
    <col min="493" max="493" width="6.7109375" style="60" customWidth="1"/>
    <col min="494" max="494" width="8.85546875" style="60" customWidth="1"/>
    <col min="495" max="495" width="7.7109375" style="60" customWidth="1"/>
    <col min="496" max="496" width="7.28515625" style="60" customWidth="1"/>
    <col min="497" max="497" width="7.7109375" style="60" customWidth="1"/>
    <col min="498" max="498" width="8.28515625" style="60" customWidth="1"/>
    <col min="499" max="500" width="6.7109375" style="60" customWidth="1"/>
    <col min="501" max="501" width="8.85546875" style="60" customWidth="1"/>
    <col min="502" max="503" width="7.5703125" style="60" customWidth="1"/>
    <col min="504" max="504" width="7.7109375" style="60" customWidth="1"/>
    <col min="505" max="506" width="8.28515625" style="60" customWidth="1"/>
    <col min="507" max="507" width="6.28515625" style="60" customWidth="1"/>
    <col min="508" max="509" width="8.7109375" style="60" customWidth="1"/>
    <col min="510" max="510" width="9.5703125" style="60" customWidth="1"/>
    <col min="511" max="511" width="8.7109375" style="60" customWidth="1"/>
    <col min="512" max="512" width="14.5703125" style="60" customWidth="1"/>
    <col min="513" max="513" width="8.7109375" style="60" customWidth="1"/>
    <col min="514" max="514" width="10.42578125" style="60" customWidth="1"/>
    <col min="515" max="517" width="8.7109375" style="60" customWidth="1"/>
    <col min="518" max="518" width="9" style="60"/>
    <col min="519" max="520" width="8.7109375" style="60" customWidth="1"/>
    <col min="521" max="521" width="4.28515625" style="60" customWidth="1"/>
    <col min="522" max="522" width="7" style="60" customWidth="1"/>
    <col min="523" max="523" width="4.28515625" style="60" customWidth="1"/>
    <col min="524" max="524" width="7.7109375" style="60" customWidth="1"/>
    <col min="525" max="741" width="9" style="60"/>
    <col min="742" max="742" width="1.42578125" style="60" customWidth="1"/>
    <col min="743" max="743" width="31.85546875" style="60" customWidth="1"/>
    <col min="744" max="744" width="8.28515625" style="60" customWidth="1"/>
    <col min="745" max="745" width="9.7109375" style="60" customWidth="1"/>
    <col min="746" max="746" width="8.28515625" style="60" customWidth="1"/>
    <col min="747" max="747" width="6.5703125" style="60" customWidth="1"/>
    <col min="748" max="748" width="14" style="60" customWidth="1"/>
    <col min="749" max="749" width="6.7109375" style="60" customWidth="1"/>
    <col min="750" max="750" width="8.85546875" style="60" customWidth="1"/>
    <col min="751" max="751" width="7.7109375" style="60" customWidth="1"/>
    <col min="752" max="752" width="7.28515625" style="60" customWidth="1"/>
    <col min="753" max="753" width="7.7109375" style="60" customWidth="1"/>
    <col min="754" max="754" width="8.28515625" style="60" customWidth="1"/>
    <col min="755" max="756" width="6.7109375" style="60" customWidth="1"/>
    <col min="757" max="757" width="8.85546875" style="60" customWidth="1"/>
    <col min="758" max="759" width="7.5703125" style="60" customWidth="1"/>
    <col min="760" max="760" width="7.7109375" style="60" customWidth="1"/>
    <col min="761" max="762" width="8.28515625" style="60" customWidth="1"/>
    <col min="763" max="763" width="6.28515625" style="60" customWidth="1"/>
    <col min="764" max="765" width="8.7109375" style="60" customWidth="1"/>
    <col min="766" max="766" width="9.5703125" style="60" customWidth="1"/>
    <col min="767" max="767" width="8.7109375" style="60" customWidth="1"/>
    <col min="768" max="768" width="14.5703125" style="60" customWidth="1"/>
    <col min="769" max="769" width="8.7109375" style="60" customWidth="1"/>
    <col min="770" max="770" width="10.42578125" style="60" customWidth="1"/>
    <col min="771" max="773" width="8.7109375" style="60" customWidth="1"/>
    <col min="774" max="774" width="9" style="60"/>
    <col min="775" max="776" width="8.7109375" style="60" customWidth="1"/>
    <col min="777" max="777" width="4.28515625" style="60" customWidth="1"/>
    <col min="778" max="778" width="7" style="60" customWidth="1"/>
    <col min="779" max="779" width="4.28515625" style="60" customWidth="1"/>
    <col min="780" max="780" width="7.7109375" style="60" customWidth="1"/>
    <col min="781" max="997" width="9" style="60"/>
    <col min="998" max="998" width="1.42578125" style="60" customWidth="1"/>
    <col min="999" max="999" width="31.85546875" style="60" customWidth="1"/>
    <col min="1000" max="1000" width="8.28515625" style="60" customWidth="1"/>
    <col min="1001" max="1001" width="9.7109375" style="60" customWidth="1"/>
    <col min="1002" max="1002" width="8.28515625" style="60" customWidth="1"/>
    <col min="1003" max="1003" width="6.5703125" style="60" customWidth="1"/>
    <col min="1004" max="1004" width="14" style="60" customWidth="1"/>
    <col min="1005" max="1005" width="6.7109375" style="60" customWidth="1"/>
    <col min="1006" max="1006" width="8.85546875" style="60" customWidth="1"/>
    <col min="1007" max="1007" width="7.7109375" style="60" customWidth="1"/>
    <col min="1008" max="1008" width="7.28515625" style="60" customWidth="1"/>
    <col min="1009" max="1009" width="7.7109375" style="60" customWidth="1"/>
    <col min="1010" max="1010" width="8.28515625" style="60" customWidth="1"/>
    <col min="1011" max="1012" width="6.7109375" style="60" customWidth="1"/>
    <col min="1013" max="1013" width="8.85546875" style="60" customWidth="1"/>
    <col min="1014" max="1015" width="7.5703125" style="60" customWidth="1"/>
    <col min="1016" max="1016" width="7.7109375" style="60" customWidth="1"/>
    <col min="1017" max="1018" width="8.28515625" style="60" customWidth="1"/>
    <col min="1019" max="1019" width="6.28515625" style="60" customWidth="1"/>
    <col min="1020" max="1021" width="8.7109375" style="60" customWidth="1"/>
    <col min="1022" max="1022" width="9.5703125" style="60" customWidth="1"/>
    <col min="1023" max="1023" width="8.7109375" style="60" customWidth="1"/>
    <col min="1024" max="1024" width="14.5703125" style="60" customWidth="1"/>
    <col min="1025" max="1025" width="8.7109375" style="60" customWidth="1"/>
    <col min="1026" max="1026" width="10.42578125" style="60" customWidth="1"/>
    <col min="1027" max="1029" width="8.7109375" style="60" customWidth="1"/>
    <col min="1030" max="1030" width="9" style="60"/>
    <col min="1031" max="1032" width="8.7109375" style="60" customWidth="1"/>
    <col min="1033" max="1033" width="4.28515625" style="60" customWidth="1"/>
    <col min="1034" max="1034" width="7" style="60" customWidth="1"/>
    <col min="1035" max="1035" width="4.28515625" style="60" customWidth="1"/>
    <col min="1036" max="1036" width="7.7109375" style="60" customWidth="1"/>
    <col min="1037" max="1253" width="9" style="60"/>
    <col min="1254" max="1254" width="1.42578125" style="60" customWidth="1"/>
    <col min="1255" max="1255" width="31.85546875" style="60" customWidth="1"/>
    <col min="1256" max="1256" width="8.28515625" style="60" customWidth="1"/>
    <col min="1257" max="1257" width="9.7109375" style="60" customWidth="1"/>
    <col min="1258" max="1258" width="8.28515625" style="60" customWidth="1"/>
    <col min="1259" max="1259" width="6.5703125" style="60" customWidth="1"/>
    <col min="1260" max="1260" width="14" style="60" customWidth="1"/>
    <col min="1261" max="1261" width="6.7109375" style="60" customWidth="1"/>
    <col min="1262" max="1262" width="8.85546875" style="60" customWidth="1"/>
    <col min="1263" max="1263" width="7.7109375" style="60" customWidth="1"/>
    <col min="1264" max="1264" width="7.28515625" style="60" customWidth="1"/>
    <col min="1265" max="1265" width="7.7109375" style="60" customWidth="1"/>
    <col min="1266" max="1266" width="8.28515625" style="60" customWidth="1"/>
    <col min="1267" max="1268" width="6.7109375" style="60" customWidth="1"/>
    <col min="1269" max="1269" width="8.85546875" style="60" customWidth="1"/>
    <col min="1270" max="1271" width="7.5703125" style="60" customWidth="1"/>
    <col min="1272" max="1272" width="7.7109375" style="60" customWidth="1"/>
    <col min="1273" max="1274" width="8.28515625" style="60" customWidth="1"/>
    <col min="1275" max="1275" width="6.28515625" style="60" customWidth="1"/>
    <col min="1276" max="1277" width="8.7109375" style="60" customWidth="1"/>
    <col min="1278" max="1278" width="9.5703125" style="60" customWidth="1"/>
    <col min="1279" max="1279" width="8.7109375" style="60" customWidth="1"/>
    <col min="1280" max="1280" width="14.5703125" style="60" customWidth="1"/>
    <col min="1281" max="1281" width="8.7109375" style="60" customWidth="1"/>
    <col min="1282" max="1282" width="10.42578125" style="60" customWidth="1"/>
    <col min="1283" max="1285" width="8.7109375" style="60" customWidth="1"/>
    <col min="1286" max="1286" width="9" style="60"/>
    <col min="1287" max="1288" width="8.7109375" style="60" customWidth="1"/>
    <col min="1289" max="1289" width="4.28515625" style="60" customWidth="1"/>
    <col min="1290" max="1290" width="7" style="60" customWidth="1"/>
    <col min="1291" max="1291" width="4.28515625" style="60" customWidth="1"/>
    <col min="1292" max="1292" width="7.7109375" style="60" customWidth="1"/>
    <col min="1293" max="1509" width="9" style="60"/>
    <col min="1510" max="1510" width="1.42578125" style="60" customWidth="1"/>
    <col min="1511" max="1511" width="31.85546875" style="60" customWidth="1"/>
    <col min="1512" max="1512" width="8.28515625" style="60" customWidth="1"/>
    <col min="1513" max="1513" width="9.7109375" style="60" customWidth="1"/>
    <col min="1514" max="1514" width="8.28515625" style="60" customWidth="1"/>
    <col min="1515" max="1515" width="6.5703125" style="60" customWidth="1"/>
    <col min="1516" max="1516" width="14" style="60" customWidth="1"/>
    <col min="1517" max="1517" width="6.7109375" style="60" customWidth="1"/>
    <col min="1518" max="1518" width="8.85546875" style="60" customWidth="1"/>
    <col min="1519" max="1519" width="7.7109375" style="60" customWidth="1"/>
    <col min="1520" max="1520" width="7.28515625" style="60" customWidth="1"/>
    <col min="1521" max="1521" width="7.7109375" style="60" customWidth="1"/>
    <col min="1522" max="1522" width="8.28515625" style="60" customWidth="1"/>
    <col min="1523" max="1524" width="6.7109375" style="60" customWidth="1"/>
    <col min="1525" max="1525" width="8.85546875" style="60" customWidth="1"/>
    <col min="1526" max="1527" width="7.5703125" style="60" customWidth="1"/>
    <col min="1528" max="1528" width="7.7109375" style="60" customWidth="1"/>
    <col min="1529" max="1530" width="8.28515625" style="60" customWidth="1"/>
    <col min="1531" max="1531" width="6.28515625" style="60" customWidth="1"/>
    <col min="1532" max="1533" width="8.7109375" style="60" customWidth="1"/>
    <col min="1534" max="1534" width="9.5703125" style="60" customWidth="1"/>
    <col min="1535" max="1535" width="8.7109375" style="60" customWidth="1"/>
    <col min="1536" max="1536" width="14.5703125" style="60" customWidth="1"/>
    <col min="1537" max="1537" width="8.7109375" style="60" customWidth="1"/>
    <col min="1538" max="1538" width="10.42578125" style="60" customWidth="1"/>
    <col min="1539" max="1541" width="8.7109375" style="60" customWidth="1"/>
    <col min="1542" max="1542" width="9" style="60"/>
    <col min="1543" max="1544" width="8.7109375" style="60" customWidth="1"/>
    <col min="1545" max="1545" width="4.28515625" style="60" customWidth="1"/>
    <col min="1546" max="1546" width="7" style="60" customWidth="1"/>
    <col min="1547" max="1547" width="4.28515625" style="60" customWidth="1"/>
    <col min="1548" max="1548" width="7.7109375" style="60" customWidth="1"/>
    <col min="1549" max="1765" width="9" style="60"/>
    <col min="1766" max="1766" width="1.42578125" style="60" customWidth="1"/>
    <col min="1767" max="1767" width="31.85546875" style="60" customWidth="1"/>
    <col min="1768" max="1768" width="8.28515625" style="60" customWidth="1"/>
    <col min="1769" max="1769" width="9.7109375" style="60" customWidth="1"/>
    <col min="1770" max="1770" width="8.28515625" style="60" customWidth="1"/>
    <col min="1771" max="1771" width="6.5703125" style="60" customWidth="1"/>
    <col min="1772" max="1772" width="14" style="60" customWidth="1"/>
    <col min="1773" max="1773" width="6.7109375" style="60" customWidth="1"/>
    <col min="1774" max="1774" width="8.85546875" style="60" customWidth="1"/>
    <col min="1775" max="1775" width="7.7109375" style="60" customWidth="1"/>
    <col min="1776" max="1776" width="7.28515625" style="60" customWidth="1"/>
    <col min="1777" max="1777" width="7.7109375" style="60" customWidth="1"/>
    <col min="1778" max="1778" width="8.28515625" style="60" customWidth="1"/>
    <col min="1779" max="1780" width="6.7109375" style="60" customWidth="1"/>
    <col min="1781" max="1781" width="8.85546875" style="60" customWidth="1"/>
    <col min="1782" max="1783" width="7.5703125" style="60" customWidth="1"/>
    <col min="1784" max="1784" width="7.7109375" style="60" customWidth="1"/>
    <col min="1785" max="1786" width="8.28515625" style="60" customWidth="1"/>
    <col min="1787" max="1787" width="6.28515625" style="60" customWidth="1"/>
    <col min="1788" max="1789" width="8.7109375" style="60" customWidth="1"/>
    <col min="1790" max="1790" width="9.5703125" style="60" customWidth="1"/>
    <col min="1791" max="1791" width="8.7109375" style="60" customWidth="1"/>
    <col min="1792" max="1792" width="14.5703125" style="60" customWidth="1"/>
    <col min="1793" max="1793" width="8.7109375" style="60" customWidth="1"/>
    <col min="1794" max="1794" width="10.42578125" style="60" customWidth="1"/>
    <col min="1795" max="1797" width="8.7109375" style="60" customWidth="1"/>
    <col min="1798" max="1798" width="9" style="60"/>
    <col min="1799" max="1800" width="8.7109375" style="60" customWidth="1"/>
    <col min="1801" max="1801" width="4.28515625" style="60" customWidth="1"/>
    <col min="1802" max="1802" width="7" style="60" customWidth="1"/>
    <col min="1803" max="1803" width="4.28515625" style="60" customWidth="1"/>
    <col min="1804" max="1804" width="7.7109375" style="60" customWidth="1"/>
    <col min="1805" max="2021" width="9" style="60"/>
    <col min="2022" max="2022" width="1.42578125" style="60" customWidth="1"/>
    <col min="2023" max="2023" width="31.85546875" style="60" customWidth="1"/>
    <col min="2024" max="2024" width="8.28515625" style="60" customWidth="1"/>
    <col min="2025" max="2025" width="9.7109375" style="60" customWidth="1"/>
    <col min="2026" max="2026" width="8.28515625" style="60" customWidth="1"/>
    <col min="2027" max="2027" width="6.5703125" style="60" customWidth="1"/>
    <col min="2028" max="2028" width="14" style="60" customWidth="1"/>
    <col min="2029" max="2029" width="6.7109375" style="60" customWidth="1"/>
    <col min="2030" max="2030" width="8.85546875" style="60" customWidth="1"/>
    <col min="2031" max="2031" width="7.7109375" style="60" customWidth="1"/>
    <col min="2032" max="2032" width="7.28515625" style="60" customWidth="1"/>
    <col min="2033" max="2033" width="7.7109375" style="60" customWidth="1"/>
    <col min="2034" max="2034" width="8.28515625" style="60" customWidth="1"/>
    <col min="2035" max="2036" width="6.7109375" style="60" customWidth="1"/>
    <col min="2037" max="2037" width="8.85546875" style="60" customWidth="1"/>
    <col min="2038" max="2039" width="7.5703125" style="60" customWidth="1"/>
    <col min="2040" max="2040" width="7.7109375" style="60" customWidth="1"/>
    <col min="2041" max="2042" width="8.28515625" style="60" customWidth="1"/>
    <col min="2043" max="2043" width="6.28515625" style="60" customWidth="1"/>
    <col min="2044" max="2045" width="8.7109375" style="60" customWidth="1"/>
    <col min="2046" max="2046" width="9.5703125" style="60" customWidth="1"/>
    <col min="2047" max="2047" width="8.7109375" style="60" customWidth="1"/>
    <col min="2048" max="2048" width="14.5703125" style="60" customWidth="1"/>
    <col min="2049" max="2049" width="8.7109375" style="60" customWidth="1"/>
    <col min="2050" max="2050" width="10.42578125" style="60" customWidth="1"/>
    <col min="2051" max="2053" width="8.7109375" style="60" customWidth="1"/>
    <col min="2054" max="2054" width="9" style="60"/>
    <col min="2055" max="2056" width="8.7109375" style="60" customWidth="1"/>
    <col min="2057" max="2057" width="4.28515625" style="60" customWidth="1"/>
    <col min="2058" max="2058" width="7" style="60" customWidth="1"/>
    <col min="2059" max="2059" width="4.28515625" style="60" customWidth="1"/>
    <col min="2060" max="2060" width="7.7109375" style="60" customWidth="1"/>
    <col min="2061" max="2277" width="9" style="60"/>
    <col min="2278" max="2278" width="1.42578125" style="60" customWidth="1"/>
    <col min="2279" max="2279" width="31.85546875" style="60" customWidth="1"/>
    <col min="2280" max="2280" width="8.28515625" style="60" customWidth="1"/>
    <col min="2281" max="2281" width="9.7109375" style="60" customWidth="1"/>
    <col min="2282" max="2282" width="8.28515625" style="60" customWidth="1"/>
    <col min="2283" max="2283" width="6.5703125" style="60" customWidth="1"/>
    <col min="2284" max="2284" width="14" style="60" customWidth="1"/>
    <col min="2285" max="2285" width="6.7109375" style="60" customWidth="1"/>
    <col min="2286" max="2286" width="8.85546875" style="60" customWidth="1"/>
    <col min="2287" max="2287" width="7.7109375" style="60" customWidth="1"/>
    <col min="2288" max="2288" width="7.28515625" style="60" customWidth="1"/>
    <col min="2289" max="2289" width="7.7109375" style="60" customWidth="1"/>
    <col min="2290" max="2290" width="8.28515625" style="60" customWidth="1"/>
    <col min="2291" max="2292" width="6.7109375" style="60" customWidth="1"/>
    <col min="2293" max="2293" width="8.85546875" style="60" customWidth="1"/>
    <col min="2294" max="2295" width="7.5703125" style="60" customWidth="1"/>
    <col min="2296" max="2296" width="7.7109375" style="60" customWidth="1"/>
    <col min="2297" max="2298" width="8.28515625" style="60" customWidth="1"/>
    <col min="2299" max="2299" width="6.28515625" style="60" customWidth="1"/>
    <col min="2300" max="2301" width="8.7109375" style="60" customWidth="1"/>
    <col min="2302" max="2302" width="9.5703125" style="60" customWidth="1"/>
    <col min="2303" max="2303" width="8.7109375" style="60" customWidth="1"/>
    <col min="2304" max="2304" width="14.5703125" style="60" customWidth="1"/>
    <col min="2305" max="2305" width="8.7109375" style="60" customWidth="1"/>
    <col min="2306" max="2306" width="10.42578125" style="60" customWidth="1"/>
    <col min="2307" max="2309" width="8.7109375" style="60" customWidth="1"/>
    <col min="2310" max="2310" width="9" style="60"/>
    <col min="2311" max="2312" width="8.7109375" style="60" customWidth="1"/>
    <col min="2313" max="2313" width="4.28515625" style="60" customWidth="1"/>
    <col min="2314" max="2314" width="7" style="60" customWidth="1"/>
    <col min="2315" max="2315" width="4.28515625" style="60" customWidth="1"/>
    <col min="2316" max="2316" width="7.7109375" style="60" customWidth="1"/>
    <col min="2317" max="2533" width="9" style="60"/>
    <col min="2534" max="2534" width="1.42578125" style="60" customWidth="1"/>
    <col min="2535" max="2535" width="31.85546875" style="60" customWidth="1"/>
    <col min="2536" max="2536" width="8.28515625" style="60" customWidth="1"/>
    <col min="2537" max="2537" width="9.7109375" style="60" customWidth="1"/>
    <col min="2538" max="2538" width="8.28515625" style="60" customWidth="1"/>
    <col min="2539" max="2539" width="6.5703125" style="60" customWidth="1"/>
    <col min="2540" max="2540" width="14" style="60" customWidth="1"/>
    <col min="2541" max="2541" width="6.7109375" style="60" customWidth="1"/>
    <col min="2542" max="2542" width="8.85546875" style="60" customWidth="1"/>
    <col min="2543" max="2543" width="7.7109375" style="60" customWidth="1"/>
    <col min="2544" max="2544" width="7.28515625" style="60" customWidth="1"/>
    <col min="2545" max="2545" width="7.7109375" style="60" customWidth="1"/>
    <col min="2546" max="2546" width="8.28515625" style="60" customWidth="1"/>
    <col min="2547" max="2548" width="6.7109375" style="60" customWidth="1"/>
    <col min="2549" max="2549" width="8.85546875" style="60" customWidth="1"/>
    <col min="2550" max="2551" width="7.5703125" style="60" customWidth="1"/>
    <col min="2552" max="2552" width="7.7109375" style="60" customWidth="1"/>
    <col min="2553" max="2554" width="8.28515625" style="60" customWidth="1"/>
    <col min="2555" max="2555" width="6.28515625" style="60" customWidth="1"/>
    <col min="2556" max="2557" width="8.7109375" style="60" customWidth="1"/>
    <col min="2558" max="2558" width="9.5703125" style="60" customWidth="1"/>
    <col min="2559" max="2559" width="8.7109375" style="60" customWidth="1"/>
    <col min="2560" max="2560" width="14.5703125" style="60" customWidth="1"/>
    <col min="2561" max="2561" width="8.7109375" style="60" customWidth="1"/>
    <col min="2562" max="2562" width="10.42578125" style="60" customWidth="1"/>
    <col min="2563" max="2565" width="8.7109375" style="60" customWidth="1"/>
    <col min="2566" max="2566" width="9" style="60"/>
    <col min="2567" max="2568" width="8.7109375" style="60" customWidth="1"/>
    <col min="2569" max="2569" width="4.28515625" style="60" customWidth="1"/>
    <col min="2570" max="2570" width="7" style="60" customWidth="1"/>
    <col min="2571" max="2571" width="4.28515625" style="60" customWidth="1"/>
    <col min="2572" max="2572" width="7.7109375" style="60" customWidth="1"/>
    <col min="2573" max="2789" width="9" style="60"/>
    <col min="2790" max="2790" width="1.42578125" style="60" customWidth="1"/>
    <col min="2791" max="2791" width="31.85546875" style="60" customWidth="1"/>
    <col min="2792" max="2792" width="8.28515625" style="60" customWidth="1"/>
    <col min="2793" max="2793" width="9.7109375" style="60" customWidth="1"/>
    <col min="2794" max="2794" width="8.28515625" style="60" customWidth="1"/>
    <col min="2795" max="2795" width="6.5703125" style="60" customWidth="1"/>
    <col min="2796" max="2796" width="14" style="60" customWidth="1"/>
    <col min="2797" max="2797" width="6.7109375" style="60" customWidth="1"/>
    <col min="2798" max="2798" width="8.85546875" style="60" customWidth="1"/>
    <col min="2799" max="2799" width="7.7109375" style="60" customWidth="1"/>
    <col min="2800" max="2800" width="7.28515625" style="60" customWidth="1"/>
    <col min="2801" max="2801" width="7.7109375" style="60" customWidth="1"/>
    <col min="2802" max="2802" width="8.28515625" style="60" customWidth="1"/>
    <col min="2803" max="2804" width="6.7109375" style="60" customWidth="1"/>
    <col min="2805" max="2805" width="8.85546875" style="60" customWidth="1"/>
    <col min="2806" max="2807" width="7.5703125" style="60" customWidth="1"/>
    <col min="2808" max="2808" width="7.7109375" style="60" customWidth="1"/>
    <col min="2809" max="2810" width="8.28515625" style="60" customWidth="1"/>
    <col min="2811" max="2811" width="6.28515625" style="60" customWidth="1"/>
    <col min="2812" max="2813" width="8.7109375" style="60" customWidth="1"/>
    <col min="2814" max="2814" width="9.5703125" style="60" customWidth="1"/>
    <col min="2815" max="2815" width="8.7109375" style="60" customWidth="1"/>
    <col min="2816" max="2816" width="14.5703125" style="60" customWidth="1"/>
    <col min="2817" max="2817" width="8.7109375" style="60" customWidth="1"/>
    <col min="2818" max="2818" width="10.42578125" style="60" customWidth="1"/>
    <col min="2819" max="2821" width="8.7109375" style="60" customWidth="1"/>
    <col min="2822" max="2822" width="9" style="60"/>
    <col min="2823" max="2824" width="8.7109375" style="60" customWidth="1"/>
    <col min="2825" max="2825" width="4.28515625" style="60" customWidth="1"/>
    <col min="2826" max="2826" width="7" style="60" customWidth="1"/>
    <col min="2827" max="2827" width="4.28515625" style="60" customWidth="1"/>
    <col min="2828" max="2828" width="7.7109375" style="60" customWidth="1"/>
    <col min="2829" max="3045" width="9" style="60"/>
    <col min="3046" max="3046" width="1.42578125" style="60" customWidth="1"/>
    <col min="3047" max="3047" width="31.85546875" style="60" customWidth="1"/>
    <col min="3048" max="3048" width="8.28515625" style="60" customWidth="1"/>
    <col min="3049" max="3049" width="9.7109375" style="60" customWidth="1"/>
    <col min="3050" max="3050" width="8.28515625" style="60" customWidth="1"/>
    <col min="3051" max="3051" width="6.5703125" style="60" customWidth="1"/>
    <col min="3052" max="3052" width="14" style="60" customWidth="1"/>
    <col min="3053" max="3053" width="6.7109375" style="60" customWidth="1"/>
    <col min="3054" max="3054" width="8.85546875" style="60" customWidth="1"/>
    <col min="3055" max="3055" width="7.7109375" style="60" customWidth="1"/>
    <col min="3056" max="3056" width="7.28515625" style="60" customWidth="1"/>
    <col min="3057" max="3057" width="7.7109375" style="60" customWidth="1"/>
    <col min="3058" max="3058" width="8.28515625" style="60" customWidth="1"/>
    <col min="3059" max="3060" width="6.7109375" style="60" customWidth="1"/>
    <col min="3061" max="3061" width="8.85546875" style="60" customWidth="1"/>
    <col min="3062" max="3063" width="7.5703125" style="60" customWidth="1"/>
    <col min="3064" max="3064" width="7.7109375" style="60" customWidth="1"/>
    <col min="3065" max="3066" width="8.28515625" style="60" customWidth="1"/>
    <col min="3067" max="3067" width="6.28515625" style="60" customWidth="1"/>
    <col min="3068" max="3069" width="8.7109375" style="60" customWidth="1"/>
    <col min="3070" max="3070" width="9.5703125" style="60" customWidth="1"/>
    <col min="3071" max="3071" width="8.7109375" style="60" customWidth="1"/>
    <col min="3072" max="3072" width="14.5703125" style="60" customWidth="1"/>
    <col min="3073" max="3073" width="8.7109375" style="60" customWidth="1"/>
    <col min="3074" max="3074" width="10.42578125" style="60" customWidth="1"/>
    <col min="3075" max="3077" width="8.7109375" style="60" customWidth="1"/>
    <col min="3078" max="3078" width="9" style="60"/>
    <col min="3079" max="3080" width="8.7109375" style="60" customWidth="1"/>
    <col min="3081" max="3081" width="4.28515625" style="60" customWidth="1"/>
    <col min="3082" max="3082" width="7" style="60" customWidth="1"/>
    <col min="3083" max="3083" width="4.28515625" style="60" customWidth="1"/>
    <col min="3084" max="3084" width="7.7109375" style="60" customWidth="1"/>
    <col min="3085" max="3301" width="9" style="60"/>
    <col min="3302" max="3302" width="1.42578125" style="60" customWidth="1"/>
    <col min="3303" max="3303" width="31.85546875" style="60" customWidth="1"/>
    <col min="3304" max="3304" width="8.28515625" style="60" customWidth="1"/>
    <col min="3305" max="3305" width="9.7109375" style="60" customWidth="1"/>
    <col min="3306" max="3306" width="8.28515625" style="60" customWidth="1"/>
    <col min="3307" max="3307" width="6.5703125" style="60" customWidth="1"/>
    <col min="3308" max="3308" width="14" style="60" customWidth="1"/>
    <col min="3309" max="3309" width="6.7109375" style="60" customWidth="1"/>
    <col min="3310" max="3310" width="8.85546875" style="60" customWidth="1"/>
    <col min="3311" max="3311" width="7.7109375" style="60" customWidth="1"/>
    <col min="3312" max="3312" width="7.28515625" style="60" customWidth="1"/>
    <col min="3313" max="3313" width="7.7109375" style="60" customWidth="1"/>
    <col min="3314" max="3314" width="8.28515625" style="60" customWidth="1"/>
    <col min="3315" max="3316" width="6.7109375" style="60" customWidth="1"/>
    <col min="3317" max="3317" width="8.85546875" style="60" customWidth="1"/>
    <col min="3318" max="3319" width="7.5703125" style="60" customWidth="1"/>
    <col min="3320" max="3320" width="7.7109375" style="60" customWidth="1"/>
    <col min="3321" max="3322" width="8.28515625" style="60" customWidth="1"/>
    <col min="3323" max="3323" width="6.28515625" style="60" customWidth="1"/>
    <col min="3324" max="3325" width="8.7109375" style="60" customWidth="1"/>
    <col min="3326" max="3326" width="9.5703125" style="60" customWidth="1"/>
    <col min="3327" max="3327" width="8.7109375" style="60" customWidth="1"/>
    <col min="3328" max="3328" width="14.5703125" style="60" customWidth="1"/>
    <col min="3329" max="3329" width="8.7109375" style="60" customWidth="1"/>
    <col min="3330" max="3330" width="10.42578125" style="60" customWidth="1"/>
    <col min="3331" max="3333" width="8.7109375" style="60" customWidth="1"/>
    <col min="3334" max="3334" width="9" style="60"/>
    <col min="3335" max="3336" width="8.7109375" style="60" customWidth="1"/>
    <col min="3337" max="3337" width="4.28515625" style="60" customWidth="1"/>
    <col min="3338" max="3338" width="7" style="60" customWidth="1"/>
    <col min="3339" max="3339" width="4.28515625" style="60" customWidth="1"/>
    <col min="3340" max="3340" width="7.7109375" style="60" customWidth="1"/>
    <col min="3341" max="3557" width="9" style="60"/>
    <col min="3558" max="3558" width="1.42578125" style="60" customWidth="1"/>
    <col min="3559" max="3559" width="31.85546875" style="60" customWidth="1"/>
    <col min="3560" max="3560" width="8.28515625" style="60" customWidth="1"/>
    <col min="3561" max="3561" width="9.7109375" style="60" customWidth="1"/>
    <col min="3562" max="3562" width="8.28515625" style="60" customWidth="1"/>
    <col min="3563" max="3563" width="6.5703125" style="60" customWidth="1"/>
    <col min="3564" max="3564" width="14" style="60" customWidth="1"/>
    <col min="3565" max="3565" width="6.7109375" style="60" customWidth="1"/>
    <col min="3566" max="3566" width="8.85546875" style="60" customWidth="1"/>
    <col min="3567" max="3567" width="7.7109375" style="60" customWidth="1"/>
    <col min="3568" max="3568" width="7.28515625" style="60" customWidth="1"/>
    <col min="3569" max="3569" width="7.7109375" style="60" customWidth="1"/>
    <col min="3570" max="3570" width="8.28515625" style="60" customWidth="1"/>
    <col min="3571" max="3572" width="6.7109375" style="60" customWidth="1"/>
    <col min="3573" max="3573" width="8.85546875" style="60" customWidth="1"/>
    <col min="3574" max="3575" width="7.5703125" style="60" customWidth="1"/>
    <col min="3576" max="3576" width="7.7109375" style="60" customWidth="1"/>
    <col min="3577" max="3578" width="8.28515625" style="60" customWidth="1"/>
    <col min="3579" max="3579" width="6.28515625" style="60" customWidth="1"/>
    <col min="3580" max="3581" width="8.7109375" style="60" customWidth="1"/>
    <col min="3582" max="3582" width="9.5703125" style="60" customWidth="1"/>
    <col min="3583" max="3583" width="8.7109375" style="60" customWidth="1"/>
    <col min="3584" max="3584" width="14.5703125" style="60" customWidth="1"/>
    <col min="3585" max="3585" width="8.7109375" style="60" customWidth="1"/>
    <col min="3586" max="3586" width="10.42578125" style="60" customWidth="1"/>
    <col min="3587" max="3589" width="8.7109375" style="60" customWidth="1"/>
    <col min="3590" max="3590" width="9" style="60"/>
    <col min="3591" max="3592" width="8.7109375" style="60" customWidth="1"/>
    <col min="3593" max="3593" width="4.28515625" style="60" customWidth="1"/>
    <col min="3594" max="3594" width="7" style="60" customWidth="1"/>
    <col min="3595" max="3595" width="4.28515625" style="60" customWidth="1"/>
    <col min="3596" max="3596" width="7.7109375" style="60" customWidth="1"/>
    <col min="3597" max="3813" width="9" style="60"/>
    <col min="3814" max="3814" width="1.42578125" style="60" customWidth="1"/>
    <col min="3815" max="3815" width="31.85546875" style="60" customWidth="1"/>
    <col min="3816" max="3816" width="8.28515625" style="60" customWidth="1"/>
    <col min="3817" max="3817" width="9.7109375" style="60" customWidth="1"/>
    <col min="3818" max="3818" width="8.28515625" style="60" customWidth="1"/>
    <col min="3819" max="3819" width="6.5703125" style="60" customWidth="1"/>
    <col min="3820" max="3820" width="14" style="60" customWidth="1"/>
    <col min="3821" max="3821" width="6.7109375" style="60" customWidth="1"/>
    <col min="3822" max="3822" width="8.85546875" style="60" customWidth="1"/>
    <col min="3823" max="3823" width="7.7109375" style="60" customWidth="1"/>
    <col min="3824" max="3824" width="7.28515625" style="60" customWidth="1"/>
    <col min="3825" max="3825" width="7.7109375" style="60" customWidth="1"/>
    <col min="3826" max="3826" width="8.28515625" style="60" customWidth="1"/>
    <col min="3827" max="3828" width="6.7109375" style="60" customWidth="1"/>
    <col min="3829" max="3829" width="8.85546875" style="60" customWidth="1"/>
    <col min="3830" max="3831" width="7.5703125" style="60" customWidth="1"/>
    <col min="3832" max="3832" width="7.7109375" style="60" customWidth="1"/>
    <col min="3833" max="3834" width="8.28515625" style="60" customWidth="1"/>
    <col min="3835" max="3835" width="6.28515625" style="60" customWidth="1"/>
    <col min="3836" max="3837" width="8.7109375" style="60" customWidth="1"/>
    <col min="3838" max="3838" width="9.5703125" style="60" customWidth="1"/>
    <col min="3839" max="3839" width="8.7109375" style="60" customWidth="1"/>
    <col min="3840" max="3840" width="14.5703125" style="60" customWidth="1"/>
    <col min="3841" max="3841" width="8.7109375" style="60" customWidth="1"/>
    <col min="3842" max="3842" width="10.42578125" style="60" customWidth="1"/>
    <col min="3843" max="3845" width="8.7109375" style="60" customWidth="1"/>
    <col min="3846" max="3846" width="9" style="60"/>
    <col min="3847" max="3848" width="8.7109375" style="60" customWidth="1"/>
    <col min="3849" max="3849" width="4.28515625" style="60" customWidth="1"/>
    <col min="3850" max="3850" width="7" style="60" customWidth="1"/>
    <col min="3851" max="3851" width="4.28515625" style="60" customWidth="1"/>
    <col min="3852" max="3852" width="7.7109375" style="60" customWidth="1"/>
    <col min="3853" max="4069" width="9" style="60"/>
    <col min="4070" max="4070" width="1.42578125" style="60" customWidth="1"/>
    <col min="4071" max="4071" width="31.85546875" style="60" customWidth="1"/>
    <col min="4072" max="4072" width="8.28515625" style="60" customWidth="1"/>
    <col min="4073" max="4073" width="9.7109375" style="60" customWidth="1"/>
    <col min="4074" max="4074" width="8.28515625" style="60" customWidth="1"/>
    <col min="4075" max="4075" width="6.5703125" style="60" customWidth="1"/>
    <col min="4076" max="4076" width="14" style="60" customWidth="1"/>
    <col min="4077" max="4077" width="6.7109375" style="60" customWidth="1"/>
    <col min="4078" max="4078" width="8.85546875" style="60" customWidth="1"/>
    <col min="4079" max="4079" width="7.7109375" style="60" customWidth="1"/>
    <col min="4080" max="4080" width="7.28515625" style="60" customWidth="1"/>
    <col min="4081" max="4081" width="7.7109375" style="60" customWidth="1"/>
    <col min="4082" max="4082" width="8.28515625" style="60" customWidth="1"/>
    <col min="4083" max="4084" width="6.7109375" style="60" customWidth="1"/>
    <col min="4085" max="4085" width="8.85546875" style="60" customWidth="1"/>
    <col min="4086" max="4087" width="7.5703125" style="60" customWidth="1"/>
    <col min="4088" max="4088" width="7.7109375" style="60" customWidth="1"/>
    <col min="4089" max="4090" width="8.28515625" style="60" customWidth="1"/>
    <col min="4091" max="4091" width="6.28515625" style="60" customWidth="1"/>
    <col min="4092" max="4093" width="8.7109375" style="60" customWidth="1"/>
    <col min="4094" max="4094" width="9.5703125" style="60" customWidth="1"/>
    <col min="4095" max="4095" width="8.7109375" style="60" customWidth="1"/>
    <col min="4096" max="4096" width="14.5703125" style="60" customWidth="1"/>
    <col min="4097" max="4097" width="8.7109375" style="60" customWidth="1"/>
    <col min="4098" max="4098" width="10.42578125" style="60" customWidth="1"/>
    <col min="4099" max="4101" width="8.7109375" style="60" customWidth="1"/>
    <col min="4102" max="4102" width="9" style="60"/>
    <col min="4103" max="4104" width="8.7109375" style="60" customWidth="1"/>
    <col min="4105" max="4105" width="4.28515625" style="60" customWidth="1"/>
    <col min="4106" max="4106" width="7" style="60" customWidth="1"/>
    <col min="4107" max="4107" width="4.28515625" style="60" customWidth="1"/>
    <col min="4108" max="4108" width="7.7109375" style="60" customWidth="1"/>
    <col min="4109" max="4325" width="9" style="60"/>
    <col min="4326" max="4326" width="1.42578125" style="60" customWidth="1"/>
    <col min="4327" max="4327" width="31.85546875" style="60" customWidth="1"/>
    <col min="4328" max="4328" width="8.28515625" style="60" customWidth="1"/>
    <col min="4329" max="4329" width="9.7109375" style="60" customWidth="1"/>
    <col min="4330" max="4330" width="8.28515625" style="60" customWidth="1"/>
    <col min="4331" max="4331" width="6.5703125" style="60" customWidth="1"/>
    <col min="4332" max="4332" width="14" style="60" customWidth="1"/>
    <col min="4333" max="4333" width="6.7109375" style="60" customWidth="1"/>
    <col min="4334" max="4334" width="8.85546875" style="60" customWidth="1"/>
    <col min="4335" max="4335" width="7.7109375" style="60" customWidth="1"/>
    <col min="4336" max="4336" width="7.28515625" style="60" customWidth="1"/>
    <col min="4337" max="4337" width="7.7109375" style="60" customWidth="1"/>
    <col min="4338" max="4338" width="8.28515625" style="60" customWidth="1"/>
    <col min="4339" max="4340" width="6.7109375" style="60" customWidth="1"/>
    <col min="4341" max="4341" width="8.85546875" style="60" customWidth="1"/>
    <col min="4342" max="4343" width="7.5703125" style="60" customWidth="1"/>
    <col min="4344" max="4344" width="7.7109375" style="60" customWidth="1"/>
    <col min="4345" max="4346" width="8.28515625" style="60" customWidth="1"/>
    <col min="4347" max="4347" width="6.28515625" style="60" customWidth="1"/>
    <col min="4348" max="4349" width="8.7109375" style="60" customWidth="1"/>
    <col min="4350" max="4350" width="9.5703125" style="60" customWidth="1"/>
    <col min="4351" max="4351" width="8.7109375" style="60" customWidth="1"/>
    <col min="4352" max="4352" width="14.5703125" style="60" customWidth="1"/>
    <col min="4353" max="4353" width="8.7109375" style="60" customWidth="1"/>
    <col min="4354" max="4354" width="10.42578125" style="60" customWidth="1"/>
    <col min="4355" max="4357" width="8.7109375" style="60" customWidth="1"/>
    <col min="4358" max="4358" width="9" style="60"/>
    <col min="4359" max="4360" width="8.7109375" style="60" customWidth="1"/>
    <col min="4361" max="4361" width="4.28515625" style="60" customWidth="1"/>
    <col min="4362" max="4362" width="7" style="60" customWidth="1"/>
    <col min="4363" max="4363" width="4.28515625" style="60" customWidth="1"/>
    <col min="4364" max="4364" width="7.7109375" style="60" customWidth="1"/>
    <col min="4365" max="4581" width="9" style="60"/>
    <col min="4582" max="4582" width="1.42578125" style="60" customWidth="1"/>
    <col min="4583" max="4583" width="31.85546875" style="60" customWidth="1"/>
    <col min="4584" max="4584" width="8.28515625" style="60" customWidth="1"/>
    <col min="4585" max="4585" width="9.7109375" style="60" customWidth="1"/>
    <col min="4586" max="4586" width="8.28515625" style="60" customWidth="1"/>
    <col min="4587" max="4587" width="6.5703125" style="60" customWidth="1"/>
    <col min="4588" max="4588" width="14" style="60" customWidth="1"/>
    <col min="4589" max="4589" width="6.7109375" style="60" customWidth="1"/>
    <col min="4590" max="4590" width="8.85546875" style="60" customWidth="1"/>
    <col min="4591" max="4591" width="7.7109375" style="60" customWidth="1"/>
    <col min="4592" max="4592" width="7.28515625" style="60" customWidth="1"/>
    <col min="4593" max="4593" width="7.7109375" style="60" customWidth="1"/>
    <col min="4594" max="4594" width="8.28515625" style="60" customWidth="1"/>
    <col min="4595" max="4596" width="6.7109375" style="60" customWidth="1"/>
    <col min="4597" max="4597" width="8.85546875" style="60" customWidth="1"/>
    <col min="4598" max="4599" width="7.5703125" style="60" customWidth="1"/>
    <col min="4600" max="4600" width="7.7109375" style="60" customWidth="1"/>
    <col min="4601" max="4602" width="8.28515625" style="60" customWidth="1"/>
    <col min="4603" max="4603" width="6.28515625" style="60" customWidth="1"/>
    <col min="4604" max="4605" width="8.7109375" style="60" customWidth="1"/>
    <col min="4606" max="4606" width="9.5703125" style="60" customWidth="1"/>
    <col min="4607" max="4607" width="8.7109375" style="60" customWidth="1"/>
    <col min="4608" max="4608" width="14.5703125" style="60" customWidth="1"/>
    <col min="4609" max="4609" width="8.7109375" style="60" customWidth="1"/>
    <col min="4610" max="4610" width="10.42578125" style="60" customWidth="1"/>
    <col min="4611" max="4613" width="8.7109375" style="60" customWidth="1"/>
    <col min="4614" max="4614" width="9" style="60"/>
    <col min="4615" max="4616" width="8.7109375" style="60" customWidth="1"/>
    <col min="4617" max="4617" width="4.28515625" style="60" customWidth="1"/>
    <col min="4618" max="4618" width="7" style="60" customWidth="1"/>
    <col min="4619" max="4619" width="4.28515625" style="60" customWidth="1"/>
    <col min="4620" max="4620" width="7.7109375" style="60" customWidth="1"/>
    <col min="4621" max="4837" width="9" style="60"/>
    <col min="4838" max="4838" width="1.42578125" style="60" customWidth="1"/>
    <col min="4839" max="4839" width="31.85546875" style="60" customWidth="1"/>
    <col min="4840" max="4840" width="8.28515625" style="60" customWidth="1"/>
    <col min="4841" max="4841" width="9.7109375" style="60" customWidth="1"/>
    <col min="4842" max="4842" width="8.28515625" style="60" customWidth="1"/>
    <col min="4843" max="4843" width="6.5703125" style="60" customWidth="1"/>
    <col min="4844" max="4844" width="14" style="60" customWidth="1"/>
    <col min="4845" max="4845" width="6.7109375" style="60" customWidth="1"/>
    <col min="4846" max="4846" width="8.85546875" style="60" customWidth="1"/>
    <col min="4847" max="4847" width="7.7109375" style="60" customWidth="1"/>
    <col min="4848" max="4848" width="7.28515625" style="60" customWidth="1"/>
    <col min="4849" max="4849" width="7.7109375" style="60" customWidth="1"/>
    <col min="4850" max="4850" width="8.28515625" style="60" customWidth="1"/>
    <col min="4851" max="4852" width="6.7109375" style="60" customWidth="1"/>
    <col min="4853" max="4853" width="8.85546875" style="60" customWidth="1"/>
    <col min="4854" max="4855" width="7.5703125" style="60" customWidth="1"/>
    <col min="4856" max="4856" width="7.7109375" style="60" customWidth="1"/>
    <col min="4857" max="4858" width="8.28515625" style="60" customWidth="1"/>
    <col min="4859" max="4859" width="6.28515625" style="60" customWidth="1"/>
    <col min="4860" max="4861" width="8.7109375" style="60" customWidth="1"/>
    <col min="4862" max="4862" width="9.5703125" style="60" customWidth="1"/>
    <col min="4863" max="4863" width="8.7109375" style="60" customWidth="1"/>
    <col min="4864" max="4864" width="14.5703125" style="60" customWidth="1"/>
    <col min="4865" max="4865" width="8.7109375" style="60" customWidth="1"/>
    <col min="4866" max="4866" width="10.42578125" style="60" customWidth="1"/>
    <col min="4867" max="4869" width="8.7109375" style="60" customWidth="1"/>
    <col min="4870" max="4870" width="9" style="60"/>
    <col min="4871" max="4872" width="8.7109375" style="60" customWidth="1"/>
    <col min="4873" max="4873" width="4.28515625" style="60" customWidth="1"/>
    <col min="4874" max="4874" width="7" style="60" customWidth="1"/>
    <col min="4875" max="4875" width="4.28515625" style="60" customWidth="1"/>
    <col min="4876" max="4876" width="7.7109375" style="60" customWidth="1"/>
    <col min="4877" max="5093" width="9" style="60"/>
    <col min="5094" max="5094" width="1.42578125" style="60" customWidth="1"/>
    <col min="5095" max="5095" width="31.85546875" style="60" customWidth="1"/>
    <col min="5096" max="5096" width="8.28515625" style="60" customWidth="1"/>
    <col min="5097" max="5097" width="9.7109375" style="60" customWidth="1"/>
    <col min="5098" max="5098" width="8.28515625" style="60" customWidth="1"/>
    <col min="5099" max="5099" width="6.5703125" style="60" customWidth="1"/>
    <col min="5100" max="5100" width="14" style="60" customWidth="1"/>
    <col min="5101" max="5101" width="6.7109375" style="60" customWidth="1"/>
    <col min="5102" max="5102" width="8.85546875" style="60" customWidth="1"/>
    <col min="5103" max="5103" width="7.7109375" style="60" customWidth="1"/>
    <col min="5104" max="5104" width="7.28515625" style="60" customWidth="1"/>
    <col min="5105" max="5105" width="7.7109375" style="60" customWidth="1"/>
    <col min="5106" max="5106" width="8.28515625" style="60" customWidth="1"/>
    <col min="5107" max="5108" width="6.7109375" style="60" customWidth="1"/>
    <col min="5109" max="5109" width="8.85546875" style="60" customWidth="1"/>
    <col min="5110" max="5111" width="7.5703125" style="60" customWidth="1"/>
    <col min="5112" max="5112" width="7.7109375" style="60" customWidth="1"/>
    <col min="5113" max="5114" width="8.28515625" style="60" customWidth="1"/>
    <col min="5115" max="5115" width="6.28515625" style="60" customWidth="1"/>
    <col min="5116" max="5117" width="8.7109375" style="60" customWidth="1"/>
    <col min="5118" max="5118" width="9.5703125" style="60" customWidth="1"/>
    <col min="5119" max="5119" width="8.7109375" style="60" customWidth="1"/>
    <col min="5120" max="5120" width="14.5703125" style="60" customWidth="1"/>
    <col min="5121" max="5121" width="8.7109375" style="60" customWidth="1"/>
    <col min="5122" max="5122" width="10.42578125" style="60" customWidth="1"/>
    <col min="5123" max="5125" width="8.7109375" style="60" customWidth="1"/>
    <col min="5126" max="5126" width="9" style="60"/>
    <col min="5127" max="5128" width="8.7109375" style="60" customWidth="1"/>
    <col min="5129" max="5129" width="4.28515625" style="60" customWidth="1"/>
    <col min="5130" max="5130" width="7" style="60" customWidth="1"/>
    <col min="5131" max="5131" width="4.28515625" style="60" customWidth="1"/>
    <col min="5132" max="5132" width="7.7109375" style="60" customWidth="1"/>
    <col min="5133" max="5349" width="9" style="60"/>
    <col min="5350" max="5350" width="1.42578125" style="60" customWidth="1"/>
    <col min="5351" max="5351" width="31.85546875" style="60" customWidth="1"/>
    <col min="5352" max="5352" width="8.28515625" style="60" customWidth="1"/>
    <col min="5353" max="5353" width="9.7109375" style="60" customWidth="1"/>
    <col min="5354" max="5354" width="8.28515625" style="60" customWidth="1"/>
    <col min="5355" max="5355" width="6.5703125" style="60" customWidth="1"/>
    <col min="5356" max="5356" width="14" style="60" customWidth="1"/>
    <col min="5357" max="5357" width="6.7109375" style="60" customWidth="1"/>
    <col min="5358" max="5358" width="8.85546875" style="60" customWidth="1"/>
    <col min="5359" max="5359" width="7.7109375" style="60" customWidth="1"/>
    <col min="5360" max="5360" width="7.28515625" style="60" customWidth="1"/>
    <col min="5361" max="5361" width="7.7109375" style="60" customWidth="1"/>
    <col min="5362" max="5362" width="8.28515625" style="60" customWidth="1"/>
    <col min="5363" max="5364" width="6.7109375" style="60" customWidth="1"/>
    <col min="5365" max="5365" width="8.85546875" style="60" customWidth="1"/>
    <col min="5366" max="5367" width="7.5703125" style="60" customWidth="1"/>
    <col min="5368" max="5368" width="7.7109375" style="60" customWidth="1"/>
    <col min="5369" max="5370" width="8.28515625" style="60" customWidth="1"/>
    <col min="5371" max="5371" width="6.28515625" style="60" customWidth="1"/>
    <col min="5372" max="5373" width="8.7109375" style="60" customWidth="1"/>
    <col min="5374" max="5374" width="9.5703125" style="60" customWidth="1"/>
    <col min="5375" max="5375" width="8.7109375" style="60" customWidth="1"/>
    <col min="5376" max="5376" width="14.5703125" style="60" customWidth="1"/>
    <col min="5377" max="5377" width="8.7109375" style="60" customWidth="1"/>
    <col min="5378" max="5378" width="10.42578125" style="60" customWidth="1"/>
    <col min="5379" max="5381" width="8.7109375" style="60" customWidth="1"/>
    <col min="5382" max="5382" width="9" style="60"/>
    <col min="5383" max="5384" width="8.7109375" style="60" customWidth="1"/>
    <col min="5385" max="5385" width="4.28515625" style="60" customWidth="1"/>
    <col min="5386" max="5386" width="7" style="60" customWidth="1"/>
    <col min="5387" max="5387" width="4.28515625" style="60" customWidth="1"/>
    <col min="5388" max="5388" width="7.7109375" style="60" customWidth="1"/>
    <col min="5389" max="5605" width="9" style="60"/>
    <col min="5606" max="5606" width="1.42578125" style="60" customWidth="1"/>
    <col min="5607" max="5607" width="31.85546875" style="60" customWidth="1"/>
    <col min="5608" max="5608" width="8.28515625" style="60" customWidth="1"/>
    <col min="5609" max="5609" width="9.7109375" style="60" customWidth="1"/>
    <col min="5610" max="5610" width="8.28515625" style="60" customWidth="1"/>
    <col min="5611" max="5611" width="6.5703125" style="60" customWidth="1"/>
    <col min="5612" max="5612" width="14" style="60" customWidth="1"/>
    <col min="5613" max="5613" width="6.7109375" style="60" customWidth="1"/>
    <col min="5614" max="5614" width="8.85546875" style="60" customWidth="1"/>
    <col min="5615" max="5615" width="7.7109375" style="60" customWidth="1"/>
    <col min="5616" max="5616" width="7.28515625" style="60" customWidth="1"/>
    <col min="5617" max="5617" width="7.7109375" style="60" customWidth="1"/>
    <col min="5618" max="5618" width="8.28515625" style="60" customWidth="1"/>
    <col min="5619" max="5620" width="6.7109375" style="60" customWidth="1"/>
    <col min="5621" max="5621" width="8.85546875" style="60" customWidth="1"/>
    <col min="5622" max="5623" width="7.5703125" style="60" customWidth="1"/>
    <col min="5624" max="5624" width="7.7109375" style="60" customWidth="1"/>
    <col min="5625" max="5626" width="8.28515625" style="60" customWidth="1"/>
    <col min="5627" max="5627" width="6.28515625" style="60" customWidth="1"/>
    <col min="5628" max="5629" width="8.7109375" style="60" customWidth="1"/>
    <col min="5630" max="5630" width="9.5703125" style="60" customWidth="1"/>
    <col min="5631" max="5631" width="8.7109375" style="60" customWidth="1"/>
    <col min="5632" max="5632" width="14.5703125" style="60" customWidth="1"/>
    <col min="5633" max="5633" width="8.7109375" style="60" customWidth="1"/>
    <col min="5634" max="5634" width="10.42578125" style="60" customWidth="1"/>
    <col min="5635" max="5637" width="8.7109375" style="60" customWidth="1"/>
    <col min="5638" max="5638" width="9" style="60"/>
    <col min="5639" max="5640" width="8.7109375" style="60" customWidth="1"/>
    <col min="5641" max="5641" width="4.28515625" style="60" customWidth="1"/>
    <col min="5642" max="5642" width="7" style="60" customWidth="1"/>
    <col min="5643" max="5643" width="4.28515625" style="60" customWidth="1"/>
    <col min="5644" max="5644" width="7.7109375" style="60" customWidth="1"/>
    <col min="5645" max="5861" width="9" style="60"/>
    <col min="5862" max="5862" width="1.42578125" style="60" customWidth="1"/>
    <col min="5863" max="5863" width="31.85546875" style="60" customWidth="1"/>
    <col min="5864" max="5864" width="8.28515625" style="60" customWidth="1"/>
    <col min="5865" max="5865" width="9.7109375" style="60" customWidth="1"/>
    <col min="5866" max="5866" width="8.28515625" style="60" customWidth="1"/>
    <col min="5867" max="5867" width="6.5703125" style="60" customWidth="1"/>
    <col min="5868" max="5868" width="14" style="60" customWidth="1"/>
    <col min="5869" max="5869" width="6.7109375" style="60" customWidth="1"/>
    <col min="5870" max="5870" width="8.85546875" style="60" customWidth="1"/>
    <col min="5871" max="5871" width="7.7109375" style="60" customWidth="1"/>
    <col min="5872" max="5872" width="7.28515625" style="60" customWidth="1"/>
    <col min="5873" max="5873" width="7.7109375" style="60" customWidth="1"/>
    <col min="5874" max="5874" width="8.28515625" style="60" customWidth="1"/>
    <col min="5875" max="5876" width="6.7109375" style="60" customWidth="1"/>
    <col min="5877" max="5877" width="8.85546875" style="60" customWidth="1"/>
    <col min="5878" max="5879" width="7.5703125" style="60" customWidth="1"/>
    <col min="5880" max="5880" width="7.7109375" style="60" customWidth="1"/>
    <col min="5881" max="5882" width="8.28515625" style="60" customWidth="1"/>
    <col min="5883" max="5883" width="6.28515625" style="60" customWidth="1"/>
    <col min="5884" max="5885" width="8.7109375" style="60" customWidth="1"/>
    <col min="5886" max="5886" width="9.5703125" style="60" customWidth="1"/>
    <col min="5887" max="5887" width="8.7109375" style="60" customWidth="1"/>
    <col min="5888" max="5888" width="14.5703125" style="60" customWidth="1"/>
    <col min="5889" max="5889" width="8.7109375" style="60" customWidth="1"/>
    <col min="5890" max="5890" width="10.42578125" style="60" customWidth="1"/>
    <col min="5891" max="5893" width="8.7109375" style="60" customWidth="1"/>
    <col min="5894" max="5894" width="9" style="60"/>
    <col min="5895" max="5896" width="8.7109375" style="60" customWidth="1"/>
    <col min="5897" max="5897" width="4.28515625" style="60" customWidth="1"/>
    <col min="5898" max="5898" width="7" style="60" customWidth="1"/>
    <col min="5899" max="5899" width="4.28515625" style="60" customWidth="1"/>
    <col min="5900" max="5900" width="7.7109375" style="60" customWidth="1"/>
    <col min="5901" max="6117" width="9" style="60"/>
    <col min="6118" max="6118" width="1.42578125" style="60" customWidth="1"/>
    <col min="6119" max="6119" width="31.85546875" style="60" customWidth="1"/>
    <col min="6120" max="6120" width="8.28515625" style="60" customWidth="1"/>
    <col min="6121" max="6121" width="9.7109375" style="60" customWidth="1"/>
    <col min="6122" max="6122" width="8.28515625" style="60" customWidth="1"/>
    <col min="6123" max="6123" width="6.5703125" style="60" customWidth="1"/>
    <col min="6124" max="6124" width="14" style="60" customWidth="1"/>
    <col min="6125" max="6125" width="6.7109375" style="60" customWidth="1"/>
    <col min="6126" max="6126" width="8.85546875" style="60" customWidth="1"/>
    <col min="6127" max="6127" width="7.7109375" style="60" customWidth="1"/>
    <col min="6128" max="6128" width="7.28515625" style="60" customWidth="1"/>
    <col min="6129" max="6129" width="7.7109375" style="60" customWidth="1"/>
    <col min="6130" max="6130" width="8.28515625" style="60" customWidth="1"/>
    <col min="6131" max="6132" width="6.7109375" style="60" customWidth="1"/>
    <col min="6133" max="6133" width="8.85546875" style="60" customWidth="1"/>
    <col min="6134" max="6135" width="7.5703125" style="60" customWidth="1"/>
    <col min="6136" max="6136" width="7.7109375" style="60" customWidth="1"/>
    <col min="6137" max="6138" width="8.28515625" style="60" customWidth="1"/>
    <col min="6139" max="6139" width="6.28515625" style="60" customWidth="1"/>
    <col min="6140" max="6141" width="8.7109375" style="60" customWidth="1"/>
    <col min="6142" max="6142" width="9.5703125" style="60" customWidth="1"/>
    <col min="6143" max="6143" width="8.7109375" style="60" customWidth="1"/>
    <col min="6144" max="6144" width="14.5703125" style="60" customWidth="1"/>
    <col min="6145" max="6145" width="8.7109375" style="60" customWidth="1"/>
    <col min="6146" max="6146" width="10.42578125" style="60" customWidth="1"/>
    <col min="6147" max="6149" width="8.7109375" style="60" customWidth="1"/>
    <col min="6150" max="6150" width="9" style="60"/>
    <col min="6151" max="6152" width="8.7109375" style="60" customWidth="1"/>
    <col min="6153" max="6153" width="4.28515625" style="60" customWidth="1"/>
    <col min="6154" max="6154" width="7" style="60" customWidth="1"/>
    <col min="6155" max="6155" width="4.28515625" style="60" customWidth="1"/>
    <col min="6156" max="6156" width="7.7109375" style="60" customWidth="1"/>
    <col min="6157" max="6373" width="9" style="60"/>
    <col min="6374" max="6374" width="1.42578125" style="60" customWidth="1"/>
    <col min="6375" max="6375" width="31.85546875" style="60" customWidth="1"/>
    <col min="6376" max="6376" width="8.28515625" style="60" customWidth="1"/>
    <col min="6377" max="6377" width="9.7109375" style="60" customWidth="1"/>
    <col min="6378" max="6378" width="8.28515625" style="60" customWidth="1"/>
    <col min="6379" max="6379" width="6.5703125" style="60" customWidth="1"/>
    <col min="6380" max="6380" width="14" style="60" customWidth="1"/>
    <col min="6381" max="6381" width="6.7109375" style="60" customWidth="1"/>
    <col min="6382" max="6382" width="8.85546875" style="60" customWidth="1"/>
    <col min="6383" max="6383" width="7.7109375" style="60" customWidth="1"/>
    <col min="6384" max="6384" width="7.28515625" style="60" customWidth="1"/>
    <col min="6385" max="6385" width="7.7109375" style="60" customWidth="1"/>
    <col min="6386" max="6386" width="8.28515625" style="60" customWidth="1"/>
    <col min="6387" max="6388" width="6.7109375" style="60" customWidth="1"/>
    <col min="6389" max="6389" width="8.85546875" style="60" customWidth="1"/>
    <col min="6390" max="6391" width="7.5703125" style="60" customWidth="1"/>
    <col min="6392" max="6392" width="7.7109375" style="60" customWidth="1"/>
    <col min="6393" max="6394" width="8.28515625" style="60" customWidth="1"/>
    <col min="6395" max="6395" width="6.28515625" style="60" customWidth="1"/>
    <col min="6396" max="6397" width="8.7109375" style="60" customWidth="1"/>
    <col min="6398" max="6398" width="9.5703125" style="60" customWidth="1"/>
    <col min="6399" max="6399" width="8.7109375" style="60" customWidth="1"/>
    <col min="6400" max="6400" width="14.5703125" style="60" customWidth="1"/>
    <col min="6401" max="6401" width="8.7109375" style="60" customWidth="1"/>
    <col min="6402" max="6402" width="10.42578125" style="60" customWidth="1"/>
    <col min="6403" max="6405" width="8.7109375" style="60" customWidth="1"/>
    <col min="6406" max="6406" width="9" style="60"/>
    <col min="6407" max="6408" width="8.7109375" style="60" customWidth="1"/>
    <col min="6409" max="6409" width="4.28515625" style="60" customWidth="1"/>
    <col min="6410" max="6410" width="7" style="60" customWidth="1"/>
    <col min="6411" max="6411" width="4.28515625" style="60" customWidth="1"/>
    <col min="6412" max="6412" width="7.7109375" style="60" customWidth="1"/>
    <col min="6413" max="6629" width="9" style="60"/>
    <col min="6630" max="6630" width="1.42578125" style="60" customWidth="1"/>
    <col min="6631" max="6631" width="31.85546875" style="60" customWidth="1"/>
    <col min="6632" max="6632" width="8.28515625" style="60" customWidth="1"/>
    <col min="6633" max="6633" width="9.7109375" style="60" customWidth="1"/>
    <col min="6634" max="6634" width="8.28515625" style="60" customWidth="1"/>
    <col min="6635" max="6635" width="6.5703125" style="60" customWidth="1"/>
    <col min="6636" max="6636" width="14" style="60" customWidth="1"/>
    <col min="6637" max="6637" width="6.7109375" style="60" customWidth="1"/>
    <col min="6638" max="6638" width="8.85546875" style="60" customWidth="1"/>
    <col min="6639" max="6639" width="7.7109375" style="60" customWidth="1"/>
    <col min="6640" max="6640" width="7.28515625" style="60" customWidth="1"/>
    <col min="6641" max="6641" width="7.7109375" style="60" customWidth="1"/>
    <col min="6642" max="6642" width="8.28515625" style="60" customWidth="1"/>
    <col min="6643" max="6644" width="6.7109375" style="60" customWidth="1"/>
    <col min="6645" max="6645" width="8.85546875" style="60" customWidth="1"/>
    <col min="6646" max="6647" width="7.5703125" style="60" customWidth="1"/>
    <col min="6648" max="6648" width="7.7109375" style="60" customWidth="1"/>
    <col min="6649" max="6650" width="8.28515625" style="60" customWidth="1"/>
    <col min="6651" max="6651" width="6.28515625" style="60" customWidth="1"/>
    <col min="6652" max="6653" width="8.7109375" style="60" customWidth="1"/>
    <col min="6654" max="6654" width="9.5703125" style="60" customWidth="1"/>
    <col min="6655" max="6655" width="8.7109375" style="60" customWidth="1"/>
    <col min="6656" max="6656" width="14.5703125" style="60" customWidth="1"/>
    <col min="6657" max="6657" width="8.7109375" style="60" customWidth="1"/>
    <col min="6658" max="6658" width="10.42578125" style="60" customWidth="1"/>
    <col min="6659" max="6661" width="8.7109375" style="60" customWidth="1"/>
    <col min="6662" max="6662" width="9" style="60"/>
    <col min="6663" max="6664" width="8.7109375" style="60" customWidth="1"/>
    <col min="6665" max="6665" width="4.28515625" style="60" customWidth="1"/>
    <col min="6666" max="6666" width="7" style="60" customWidth="1"/>
    <col min="6667" max="6667" width="4.28515625" style="60" customWidth="1"/>
    <col min="6668" max="6668" width="7.7109375" style="60" customWidth="1"/>
    <col min="6669" max="6885" width="9" style="60"/>
    <col min="6886" max="6886" width="1.42578125" style="60" customWidth="1"/>
    <col min="6887" max="6887" width="31.85546875" style="60" customWidth="1"/>
    <col min="6888" max="6888" width="8.28515625" style="60" customWidth="1"/>
    <col min="6889" max="6889" width="9.7109375" style="60" customWidth="1"/>
    <col min="6890" max="6890" width="8.28515625" style="60" customWidth="1"/>
    <col min="6891" max="6891" width="6.5703125" style="60" customWidth="1"/>
    <col min="6892" max="6892" width="14" style="60" customWidth="1"/>
    <col min="6893" max="6893" width="6.7109375" style="60" customWidth="1"/>
    <col min="6894" max="6894" width="8.85546875" style="60" customWidth="1"/>
    <col min="6895" max="6895" width="7.7109375" style="60" customWidth="1"/>
    <col min="6896" max="6896" width="7.28515625" style="60" customWidth="1"/>
    <col min="6897" max="6897" width="7.7109375" style="60" customWidth="1"/>
    <col min="6898" max="6898" width="8.28515625" style="60" customWidth="1"/>
    <col min="6899" max="6900" width="6.7109375" style="60" customWidth="1"/>
    <col min="6901" max="6901" width="8.85546875" style="60" customWidth="1"/>
    <col min="6902" max="6903" width="7.5703125" style="60" customWidth="1"/>
    <col min="6904" max="6904" width="7.7109375" style="60" customWidth="1"/>
    <col min="6905" max="6906" width="8.28515625" style="60" customWidth="1"/>
    <col min="6907" max="6907" width="6.28515625" style="60" customWidth="1"/>
    <col min="6908" max="6909" width="8.7109375" style="60" customWidth="1"/>
    <col min="6910" max="6910" width="9.5703125" style="60" customWidth="1"/>
    <col min="6911" max="6911" width="8.7109375" style="60" customWidth="1"/>
    <col min="6912" max="6912" width="14.5703125" style="60" customWidth="1"/>
    <col min="6913" max="6913" width="8.7109375" style="60" customWidth="1"/>
    <col min="6914" max="6914" width="10.42578125" style="60" customWidth="1"/>
    <col min="6915" max="6917" width="8.7109375" style="60" customWidth="1"/>
    <col min="6918" max="6918" width="9" style="60"/>
    <col min="6919" max="6920" width="8.7109375" style="60" customWidth="1"/>
    <col min="6921" max="6921" width="4.28515625" style="60" customWidth="1"/>
    <col min="6922" max="6922" width="7" style="60" customWidth="1"/>
    <col min="6923" max="6923" width="4.28515625" style="60" customWidth="1"/>
    <col min="6924" max="6924" width="7.7109375" style="60" customWidth="1"/>
    <col min="6925" max="7141" width="9" style="60"/>
    <col min="7142" max="7142" width="1.42578125" style="60" customWidth="1"/>
    <col min="7143" max="7143" width="31.85546875" style="60" customWidth="1"/>
    <col min="7144" max="7144" width="8.28515625" style="60" customWidth="1"/>
    <col min="7145" max="7145" width="9.7109375" style="60" customWidth="1"/>
    <col min="7146" max="7146" width="8.28515625" style="60" customWidth="1"/>
    <col min="7147" max="7147" width="6.5703125" style="60" customWidth="1"/>
    <col min="7148" max="7148" width="14" style="60" customWidth="1"/>
    <col min="7149" max="7149" width="6.7109375" style="60" customWidth="1"/>
    <col min="7150" max="7150" width="8.85546875" style="60" customWidth="1"/>
    <col min="7151" max="7151" width="7.7109375" style="60" customWidth="1"/>
    <col min="7152" max="7152" width="7.28515625" style="60" customWidth="1"/>
    <col min="7153" max="7153" width="7.7109375" style="60" customWidth="1"/>
    <col min="7154" max="7154" width="8.28515625" style="60" customWidth="1"/>
    <col min="7155" max="7156" width="6.7109375" style="60" customWidth="1"/>
    <col min="7157" max="7157" width="8.85546875" style="60" customWidth="1"/>
    <col min="7158" max="7159" width="7.5703125" style="60" customWidth="1"/>
    <col min="7160" max="7160" width="7.7109375" style="60" customWidth="1"/>
    <col min="7161" max="7162" width="8.28515625" style="60" customWidth="1"/>
    <col min="7163" max="7163" width="6.28515625" style="60" customWidth="1"/>
    <col min="7164" max="7165" width="8.7109375" style="60" customWidth="1"/>
    <col min="7166" max="7166" width="9.5703125" style="60" customWidth="1"/>
    <col min="7167" max="7167" width="8.7109375" style="60" customWidth="1"/>
    <col min="7168" max="7168" width="14.5703125" style="60" customWidth="1"/>
    <col min="7169" max="7169" width="8.7109375" style="60" customWidth="1"/>
    <col min="7170" max="7170" width="10.42578125" style="60" customWidth="1"/>
    <col min="7171" max="7173" width="8.7109375" style="60" customWidth="1"/>
    <col min="7174" max="7174" width="9" style="60"/>
    <col min="7175" max="7176" width="8.7109375" style="60" customWidth="1"/>
    <col min="7177" max="7177" width="4.28515625" style="60" customWidth="1"/>
    <col min="7178" max="7178" width="7" style="60" customWidth="1"/>
    <col min="7179" max="7179" width="4.28515625" style="60" customWidth="1"/>
    <col min="7180" max="7180" width="7.7109375" style="60" customWidth="1"/>
    <col min="7181" max="7397" width="9" style="60"/>
    <col min="7398" max="7398" width="1.42578125" style="60" customWidth="1"/>
    <col min="7399" max="7399" width="31.85546875" style="60" customWidth="1"/>
    <col min="7400" max="7400" width="8.28515625" style="60" customWidth="1"/>
    <col min="7401" max="7401" width="9.7109375" style="60" customWidth="1"/>
    <col min="7402" max="7402" width="8.28515625" style="60" customWidth="1"/>
    <col min="7403" max="7403" width="6.5703125" style="60" customWidth="1"/>
    <col min="7404" max="7404" width="14" style="60" customWidth="1"/>
    <col min="7405" max="7405" width="6.7109375" style="60" customWidth="1"/>
    <col min="7406" max="7406" width="8.85546875" style="60" customWidth="1"/>
    <col min="7407" max="7407" width="7.7109375" style="60" customWidth="1"/>
    <col min="7408" max="7408" width="7.28515625" style="60" customWidth="1"/>
    <col min="7409" max="7409" width="7.7109375" style="60" customWidth="1"/>
    <col min="7410" max="7410" width="8.28515625" style="60" customWidth="1"/>
    <col min="7411" max="7412" width="6.7109375" style="60" customWidth="1"/>
    <col min="7413" max="7413" width="8.85546875" style="60" customWidth="1"/>
    <col min="7414" max="7415" width="7.5703125" style="60" customWidth="1"/>
    <col min="7416" max="7416" width="7.7109375" style="60" customWidth="1"/>
    <col min="7417" max="7418" width="8.28515625" style="60" customWidth="1"/>
    <col min="7419" max="7419" width="6.28515625" style="60" customWidth="1"/>
    <col min="7420" max="7421" width="8.7109375" style="60" customWidth="1"/>
    <col min="7422" max="7422" width="9.5703125" style="60" customWidth="1"/>
    <col min="7423" max="7423" width="8.7109375" style="60" customWidth="1"/>
    <col min="7424" max="7424" width="14.5703125" style="60" customWidth="1"/>
    <col min="7425" max="7425" width="8.7109375" style="60" customWidth="1"/>
    <col min="7426" max="7426" width="10.42578125" style="60" customWidth="1"/>
    <col min="7427" max="7429" width="8.7109375" style="60" customWidth="1"/>
    <col min="7430" max="7430" width="9" style="60"/>
    <col min="7431" max="7432" width="8.7109375" style="60" customWidth="1"/>
    <col min="7433" max="7433" width="4.28515625" style="60" customWidth="1"/>
    <col min="7434" max="7434" width="7" style="60" customWidth="1"/>
    <col min="7435" max="7435" width="4.28515625" style="60" customWidth="1"/>
    <col min="7436" max="7436" width="7.7109375" style="60" customWidth="1"/>
    <col min="7437" max="7653" width="9" style="60"/>
    <col min="7654" max="7654" width="1.42578125" style="60" customWidth="1"/>
    <col min="7655" max="7655" width="31.85546875" style="60" customWidth="1"/>
    <col min="7656" max="7656" width="8.28515625" style="60" customWidth="1"/>
    <col min="7657" max="7657" width="9.7109375" style="60" customWidth="1"/>
    <col min="7658" max="7658" width="8.28515625" style="60" customWidth="1"/>
    <col min="7659" max="7659" width="6.5703125" style="60" customWidth="1"/>
    <col min="7660" max="7660" width="14" style="60" customWidth="1"/>
    <col min="7661" max="7661" width="6.7109375" style="60" customWidth="1"/>
    <col min="7662" max="7662" width="8.85546875" style="60" customWidth="1"/>
    <col min="7663" max="7663" width="7.7109375" style="60" customWidth="1"/>
    <col min="7664" max="7664" width="7.28515625" style="60" customWidth="1"/>
    <col min="7665" max="7665" width="7.7109375" style="60" customWidth="1"/>
    <col min="7666" max="7666" width="8.28515625" style="60" customWidth="1"/>
    <col min="7667" max="7668" width="6.7109375" style="60" customWidth="1"/>
    <col min="7669" max="7669" width="8.85546875" style="60" customWidth="1"/>
    <col min="7670" max="7671" width="7.5703125" style="60" customWidth="1"/>
    <col min="7672" max="7672" width="7.7109375" style="60" customWidth="1"/>
    <col min="7673" max="7674" width="8.28515625" style="60" customWidth="1"/>
    <col min="7675" max="7675" width="6.28515625" style="60" customWidth="1"/>
    <col min="7676" max="7677" width="8.7109375" style="60" customWidth="1"/>
    <col min="7678" max="7678" width="9.5703125" style="60" customWidth="1"/>
    <col min="7679" max="7679" width="8.7109375" style="60" customWidth="1"/>
    <col min="7680" max="7680" width="14.5703125" style="60" customWidth="1"/>
    <col min="7681" max="7681" width="8.7109375" style="60" customWidth="1"/>
    <col min="7682" max="7682" width="10.42578125" style="60" customWidth="1"/>
    <col min="7683" max="7685" width="8.7109375" style="60" customWidth="1"/>
    <col min="7686" max="7686" width="9" style="60"/>
    <col min="7687" max="7688" width="8.7109375" style="60" customWidth="1"/>
    <col min="7689" max="7689" width="4.28515625" style="60" customWidth="1"/>
    <col min="7690" max="7690" width="7" style="60" customWidth="1"/>
    <col min="7691" max="7691" width="4.28515625" style="60" customWidth="1"/>
    <col min="7692" max="7692" width="7.7109375" style="60" customWidth="1"/>
    <col min="7693" max="7909" width="9" style="60"/>
    <col min="7910" max="7910" width="1.42578125" style="60" customWidth="1"/>
    <col min="7911" max="7911" width="31.85546875" style="60" customWidth="1"/>
    <col min="7912" max="7912" width="8.28515625" style="60" customWidth="1"/>
    <col min="7913" max="7913" width="9.7109375" style="60" customWidth="1"/>
    <col min="7914" max="7914" width="8.28515625" style="60" customWidth="1"/>
    <col min="7915" max="7915" width="6.5703125" style="60" customWidth="1"/>
    <col min="7916" max="7916" width="14" style="60" customWidth="1"/>
    <col min="7917" max="7917" width="6.7109375" style="60" customWidth="1"/>
    <col min="7918" max="7918" width="8.85546875" style="60" customWidth="1"/>
    <col min="7919" max="7919" width="7.7109375" style="60" customWidth="1"/>
    <col min="7920" max="7920" width="7.28515625" style="60" customWidth="1"/>
    <col min="7921" max="7921" width="7.7109375" style="60" customWidth="1"/>
    <col min="7922" max="7922" width="8.28515625" style="60" customWidth="1"/>
    <col min="7923" max="7924" width="6.7109375" style="60" customWidth="1"/>
    <col min="7925" max="7925" width="8.85546875" style="60" customWidth="1"/>
    <col min="7926" max="7927" width="7.5703125" style="60" customWidth="1"/>
    <col min="7928" max="7928" width="7.7109375" style="60" customWidth="1"/>
    <col min="7929" max="7930" width="8.28515625" style="60" customWidth="1"/>
    <col min="7931" max="7931" width="6.28515625" style="60" customWidth="1"/>
    <col min="7932" max="7933" width="8.7109375" style="60" customWidth="1"/>
    <col min="7934" max="7934" width="9.5703125" style="60" customWidth="1"/>
    <col min="7935" max="7935" width="8.7109375" style="60" customWidth="1"/>
    <col min="7936" max="7936" width="14.5703125" style="60" customWidth="1"/>
    <col min="7937" max="7937" width="8.7109375" style="60" customWidth="1"/>
    <col min="7938" max="7938" width="10.42578125" style="60" customWidth="1"/>
    <col min="7939" max="7941" width="8.7109375" style="60" customWidth="1"/>
    <col min="7942" max="7942" width="9" style="60"/>
    <col min="7943" max="7944" width="8.7109375" style="60" customWidth="1"/>
    <col min="7945" max="7945" width="4.28515625" style="60" customWidth="1"/>
    <col min="7946" max="7946" width="7" style="60" customWidth="1"/>
    <col min="7947" max="7947" width="4.28515625" style="60" customWidth="1"/>
    <col min="7948" max="7948" width="7.7109375" style="60" customWidth="1"/>
    <col min="7949" max="8165" width="9" style="60"/>
    <col min="8166" max="8166" width="1.42578125" style="60" customWidth="1"/>
    <col min="8167" max="8167" width="31.85546875" style="60" customWidth="1"/>
    <col min="8168" max="8168" width="8.28515625" style="60" customWidth="1"/>
    <col min="8169" max="8169" width="9.7109375" style="60" customWidth="1"/>
    <col min="8170" max="8170" width="8.28515625" style="60" customWidth="1"/>
    <col min="8171" max="8171" width="6.5703125" style="60" customWidth="1"/>
    <col min="8172" max="8172" width="14" style="60" customWidth="1"/>
    <col min="8173" max="8173" width="6.7109375" style="60" customWidth="1"/>
    <col min="8174" max="8174" width="8.85546875" style="60" customWidth="1"/>
    <col min="8175" max="8175" width="7.7109375" style="60" customWidth="1"/>
    <col min="8176" max="8176" width="7.28515625" style="60" customWidth="1"/>
    <col min="8177" max="8177" width="7.7109375" style="60" customWidth="1"/>
    <col min="8178" max="8178" width="8.28515625" style="60" customWidth="1"/>
    <col min="8179" max="8180" width="6.7109375" style="60" customWidth="1"/>
    <col min="8181" max="8181" width="8.85546875" style="60" customWidth="1"/>
    <col min="8182" max="8183" width="7.5703125" style="60" customWidth="1"/>
    <col min="8184" max="8184" width="7.7109375" style="60" customWidth="1"/>
    <col min="8185" max="8186" width="8.28515625" style="60" customWidth="1"/>
    <col min="8187" max="8187" width="6.28515625" style="60" customWidth="1"/>
    <col min="8188" max="8189" width="8.7109375" style="60" customWidth="1"/>
    <col min="8190" max="8190" width="9.5703125" style="60" customWidth="1"/>
    <col min="8191" max="8191" width="8.7109375" style="60" customWidth="1"/>
    <col min="8192" max="8192" width="14.5703125" style="60" customWidth="1"/>
    <col min="8193" max="8193" width="8.7109375" style="60" customWidth="1"/>
    <col min="8194" max="8194" width="10.42578125" style="60" customWidth="1"/>
    <col min="8195" max="8197" width="8.7109375" style="60" customWidth="1"/>
    <col min="8198" max="8198" width="9" style="60"/>
    <col min="8199" max="8200" width="8.7109375" style="60" customWidth="1"/>
    <col min="8201" max="8201" width="4.28515625" style="60" customWidth="1"/>
    <col min="8202" max="8202" width="7" style="60" customWidth="1"/>
    <col min="8203" max="8203" width="4.28515625" style="60" customWidth="1"/>
    <col min="8204" max="8204" width="7.7109375" style="60" customWidth="1"/>
    <col min="8205" max="8421" width="9" style="60"/>
    <col min="8422" max="8422" width="1.42578125" style="60" customWidth="1"/>
    <col min="8423" max="8423" width="31.85546875" style="60" customWidth="1"/>
    <col min="8424" max="8424" width="8.28515625" style="60" customWidth="1"/>
    <col min="8425" max="8425" width="9.7109375" style="60" customWidth="1"/>
    <col min="8426" max="8426" width="8.28515625" style="60" customWidth="1"/>
    <col min="8427" max="8427" width="6.5703125" style="60" customWidth="1"/>
    <col min="8428" max="8428" width="14" style="60" customWidth="1"/>
    <col min="8429" max="8429" width="6.7109375" style="60" customWidth="1"/>
    <col min="8430" max="8430" width="8.85546875" style="60" customWidth="1"/>
    <col min="8431" max="8431" width="7.7109375" style="60" customWidth="1"/>
    <col min="8432" max="8432" width="7.28515625" style="60" customWidth="1"/>
    <col min="8433" max="8433" width="7.7109375" style="60" customWidth="1"/>
    <col min="8434" max="8434" width="8.28515625" style="60" customWidth="1"/>
    <col min="8435" max="8436" width="6.7109375" style="60" customWidth="1"/>
    <col min="8437" max="8437" width="8.85546875" style="60" customWidth="1"/>
    <col min="8438" max="8439" width="7.5703125" style="60" customWidth="1"/>
    <col min="8440" max="8440" width="7.7109375" style="60" customWidth="1"/>
    <col min="8441" max="8442" width="8.28515625" style="60" customWidth="1"/>
    <col min="8443" max="8443" width="6.28515625" style="60" customWidth="1"/>
    <col min="8444" max="8445" width="8.7109375" style="60" customWidth="1"/>
    <col min="8446" max="8446" width="9.5703125" style="60" customWidth="1"/>
    <col min="8447" max="8447" width="8.7109375" style="60" customWidth="1"/>
    <col min="8448" max="8448" width="14.5703125" style="60" customWidth="1"/>
    <col min="8449" max="8449" width="8.7109375" style="60" customWidth="1"/>
    <col min="8450" max="8450" width="10.42578125" style="60" customWidth="1"/>
    <col min="8451" max="8453" width="8.7109375" style="60" customWidth="1"/>
    <col min="8454" max="8454" width="9" style="60"/>
    <col min="8455" max="8456" width="8.7109375" style="60" customWidth="1"/>
    <col min="8457" max="8457" width="4.28515625" style="60" customWidth="1"/>
    <col min="8458" max="8458" width="7" style="60" customWidth="1"/>
    <col min="8459" max="8459" width="4.28515625" style="60" customWidth="1"/>
    <col min="8460" max="8460" width="7.7109375" style="60" customWidth="1"/>
    <col min="8461" max="8677" width="9" style="60"/>
    <col min="8678" max="8678" width="1.42578125" style="60" customWidth="1"/>
    <col min="8679" max="8679" width="31.85546875" style="60" customWidth="1"/>
    <col min="8680" max="8680" width="8.28515625" style="60" customWidth="1"/>
    <col min="8681" max="8681" width="9.7109375" style="60" customWidth="1"/>
    <col min="8682" max="8682" width="8.28515625" style="60" customWidth="1"/>
    <col min="8683" max="8683" width="6.5703125" style="60" customWidth="1"/>
    <col min="8684" max="8684" width="14" style="60" customWidth="1"/>
    <col min="8685" max="8685" width="6.7109375" style="60" customWidth="1"/>
    <col min="8686" max="8686" width="8.85546875" style="60" customWidth="1"/>
    <col min="8687" max="8687" width="7.7109375" style="60" customWidth="1"/>
    <col min="8688" max="8688" width="7.28515625" style="60" customWidth="1"/>
    <col min="8689" max="8689" width="7.7109375" style="60" customWidth="1"/>
    <col min="8690" max="8690" width="8.28515625" style="60" customWidth="1"/>
    <col min="8691" max="8692" width="6.7109375" style="60" customWidth="1"/>
    <col min="8693" max="8693" width="8.85546875" style="60" customWidth="1"/>
    <col min="8694" max="8695" width="7.5703125" style="60" customWidth="1"/>
    <col min="8696" max="8696" width="7.7109375" style="60" customWidth="1"/>
    <col min="8697" max="8698" width="8.28515625" style="60" customWidth="1"/>
    <col min="8699" max="8699" width="6.28515625" style="60" customWidth="1"/>
    <col min="8700" max="8701" width="8.7109375" style="60" customWidth="1"/>
    <col min="8702" max="8702" width="9.5703125" style="60" customWidth="1"/>
    <col min="8703" max="8703" width="8.7109375" style="60" customWidth="1"/>
    <col min="8704" max="8704" width="14.5703125" style="60" customWidth="1"/>
    <col min="8705" max="8705" width="8.7109375" style="60" customWidth="1"/>
    <col min="8706" max="8706" width="10.42578125" style="60" customWidth="1"/>
    <col min="8707" max="8709" width="8.7109375" style="60" customWidth="1"/>
    <col min="8710" max="8710" width="9" style="60"/>
    <col min="8711" max="8712" width="8.7109375" style="60" customWidth="1"/>
    <col min="8713" max="8713" width="4.28515625" style="60" customWidth="1"/>
    <col min="8714" max="8714" width="7" style="60" customWidth="1"/>
    <col min="8715" max="8715" width="4.28515625" style="60" customWidth="1"/>
    <col min="8716" max="8716" width="7.7109375" style="60" customWidth="1"/>
    <col min="8717" max="8933" width="9" style="60"/>
    <col min="8934" max="8934" width="1.42578125" style="60" customWidth="1"/>
    <col min="8935" max="8935" width="31.85546875" style="60" customWidth="1"/>
    <col min="8936" max="8936" width="8.28515625" style="60" customWidth="1"/>
    <col min="8937" max="8937" width="9.7109375" style="60" customWidth="1"/>
    <col min="8938" max="8938" width="8.28515625" style="60" customWidth="1"/>
    <col min="8939" max="8939" width="6.5703125" style="60" customWidth="1"/>
    <col min="8940" max="8940" width="14" style="60" customWidth="1"/>
    <col min="8941" max="8941" width="6.7109375" style="60" customWidth="1"/>
    <col min="8942" max="8942" width="8.85546875" style="60" customWidth="1"/>
    <col min="8943" max="8943" width="7.7109375" style="60" customWidth="1"/>
    <col min="8944" max="8944" width="7.28515625" style="60" customWidth="1"/>
    <col min="8945" max="8945" width="7.7109375" style="60" customWidth="1"/>
    <col min="8946" max="8946" width="8.28515625" style="60" customWidth="1"/>
    <col min="8947" max="8948" width="6.7109375" style="60" customWidth="1"/>
    <col min="8949" max="8949" width="8.85546875" style="60" customWidth="1"/>
    <col min="8950" max="8951" width="7.5703125" style="60" customWidth="1"/>
    <col min="8952" max="8952" width="7.7109375" style="60" customWidth="1"/>
    <col min="8953" max="8954" width="8.28515625" style="60" customWidth="1"/>
    <col min="8955" max="8955" width="6.28515625" style="60" customWidth="1"/>
    <col min="8956" max="8957" width="8.7109375" style="60" customWidth="1"/>
    <col min="8958" max="8958" width="9.5703125" style="60" customWidth="1"/>
    <col min="8959" max="8959" width="8.7109375" style="60" customWidth="1"/>
    <col min="8960" max="8960" width="14.5703125" style="60" customWidth="1"/>
    <col min="8961" max="8961" width="8.7109375" style="60" customWidth="1"/>
    <col min="8962" max="8962" width="10.42578125" style="60" customWidth="1"/>
    <col min="8963" max="8965" width="8.7109375" style="60" customWidth="1"/>
    <col min="8966" max="8966" width="9" style="60"/>
    <col min="8967" max="8968" width="8.7109375" style="60" customWidth="1"/>
    <col min="8969" max="8969" width="4.28515625" style="60" customWidth="1"/>
    <col min="8970" max="8970" width="7" style="60" customWidth="1"/>
    <col min="8971" max="8971" width="4.28515625" style="60" customWidth="1"/>
    <col min="8972" max="8972" width="7.7109375" style="60" customWidth="1"/>
    <col min="8973" max="9189" width="9" style="60"/>
    <col min="9190" max="9190" width="1.42578125" style="60" customWidth="1"/>
    <col min="9191" max="9191" width="31.85546875" style="60" customWidth="1"/>
    <col min="9192" max="9192" width="8.28515625" style="60" customWidth="1"/>
    <col min="9193" max="9193" width="9.7109375" style="60" customWidth="1"/>
    <col min="9194" max="9194" width="8.28515625" style="60" customWidth="1"/>
    <col min="9195" max="9195" width="6.5703125" style="60" customWidth="1"/>
    <col min="9196" max="9196" width="14" style="60" customWidth="1"/>
    <col min="9197" max="9197" width="6.7109375" style="60" customWidth="1"/>
    <col min="9198" max="9198" width="8.85546875" style="60" customWidth="1"/>
    <col min="9199" max="9199" width="7.7109375" style="60" customWidth="1"/>
    <col min="9200" max="9200" width="7.28515625" style="60" customWidth="1"/>
    <col min="9201" max="9201" width="7.7109375" style="60" customWidth="1"/>
    <col min="9202" max="9202" width="8.28515625" style="60" customWidth="1"/>
    <col min="9203" max="9204" width="6.7109375" style="60" customWidth="1"/>
    <col min="9205" max="9205" width="8.85546875" style="60" customWidth="1"/>
    <col min="9206" max="9207" width="7.5703125" style="60" customWidth="1"/>
    <col min="9208" max="9208" width="7.7109375" style="60" customWidth="1"/>
    <col min="9209" max="9210" width="8.28515625" style="60" customWidth="1"/>
    <col min="9211" max="9211" width="6.28515625" style="60" customWidth="1"/>
    <col min="9212" max="9213" width="8.7109375" style="60" customWidth="1"/>
    <col min="9214" max="9214" width="9.5703125" style="60" customWidth="1"/>
    <col min="9215" max="9215" width="8.7109375" style="60" customWidth="1"/>
    <col min="9216" max="9216" width="14.5703125" style="60" customWidth="1"/>
    <col min="9217" max="9217" width="8.7109375" style="60" customWidth="1"/>
    <col min="9218" max="9218" width="10.42578125" style="60" customWidth="1"/>
    <col min="9219" max="9221" width="8.7109375" style="60" customWidth="1"/>
    <col min="9222" max="9222" width="9" style="60"/>
    <col min="9223" max="9224" width="8.7109375" style="60" customWidth="1"/>
    <col min="9225" max="9225" width="4.28515625" style="60" customWidth="1"/>
    <col min="9226" max="9226" width="7" style="60" customWidth="1"/>
    <col min="9227" max="9227" width="4.28515625" style="60" customWidth="1"/>
    <col min="9228" max="9228" width="7.7109375" style="60" customWidth="1"/>
    <col min="9229" max="9445" width="9" style="60"/>
    <col min="9446" max="9446" width="1.42578125" style="60" customWidth="1"/>
    <col min="9447" max="9447" width="31.85546875" style="60" customWidth="1"/>
    <col min="9448" max="9448" width="8.28515625" style="60" customWidth="1"/>
    <col min="9449" max="9449" width="9.7109375" style="60" customWidth="1"/>
    <col min="9450" max="9450" width="8.28515625" style="60" customWidth="1"/>
    <col min="9451" max="9451" width="6.5703125" style="60" customWidth="1"/>
    <col min="9452" max="9452" width="14" style="60" customWidth="1"/>
    <col min="9453" max="9453" width="6.7109375" style="60" customWidth="1"/>
    <col min="9454" max="9454" width="8.85546875" style="60" customWidth="1"/>
    <col min="9455" max="9455" width="7.7109375" style="60" customWidth="1"/>
    <col min="9456" max="9456" width="7.28515625" style="60" customWidth="1"/>
    <col min="9457" max="9457" width="7.7109375" style="60" customWidth="1"/>
    <col min="9458" max="9458" width="8.28515625" style="60" customWidth="1"/>
    <col min="9459" max="9460" width="6.7109375" style="60" customWidth="1"/>
    <col min="9461" max="9461" width="8.85546875" style="60" customWidth="1"/>
    <col min="9462" max="9463" width="7.5703125" style="60" customWidth="1"/>
    <col min="9464" max="9464" width="7.7109375" style="60" customWidth="1"/>
    <col min="9465" max="9466" width="8.28515625" style="60" customWidth="1"/>
    <col min="9467" max="9467" width="6.28515625" style="60" customWidth="1"/>
    <col min="9468" max="9469" width="8.7109375" style="60" customWidth="1"/>
    <col min="9470" max="9470" width="9.5703125" style="60" customWidth="1"/>
    <col min="9471" max="9471" width="8.7109375" style="60" customWidth="1"/>
    <col min="9472" max="9472" width="14.5703125" style="60" customWidth="1"/>
    <col min="9473" max="9473" width="8.7109375" style="60" customWidth="1"/>
    <col min="9474" max="9474" width="10.42578125" style="60" customWidth="1"/>
    <col min="9475" max="9477" width="8.7109375" style="60" customWidth="1"/>
    <col min="9478" max="9478" width="9" style="60"/>
    <col min="9479" max="9480" width="8.7109375" style="60" customWidth="1"/>
    <col min="9481" max="9481" width="4.28515625" style="60" customWidth="1"/>
    <col min="9482" max="9482" width="7" style="60" customWidth="1"/>
    <col min="9483" max="9483" width="4.28515625" style="60" customWidth="1"/>
    <col min="9484" max="9484" width="7.7109375" style="60" customWidth="1"/>
    <col min="9485" max="9701" width="9" style="60"/>
    <col min="9702" max="9702" width="1.42578125" style="60" customWidth="1"/>
    <col min="9703" max="9703" width="31.85546875" style="60" customWidth="1"/>
    <col min="9704" max="9704" width="8.28515625" style="60" customWidth="1"/>
    <col min="9705" max="9705" width="9.7109375" style="60" customWidth="1"/>
    <col min="9706" max="9706" width="8.28515625" style="60" customWidth="1"/>
    <col min="9707" max="9707" width="6.5703125" style="60" customWidth="1"/>
    <col min="9708" max="9708" width="14" style="60" customWidth="1"/>
    <col min="9709" max="9709" width="6.7109375" style="60" customWidth="1"/>
    <col min="9710" max="9710" width="8.85546875" style="60" customWidth="1"/>
    <col min="9711" max="9711" width="7.7109375" style="60" customWidth="1"/>
    <col min="9712" max="9712" width="7.28515625" style="60" customWidth="1"/>
    <col min="9713" max="9713" width="7.7109375" style="60" customWidth="1"/>
    <col min="9714" max="9714" width="8.28515625" style="60" customWidth="1"/>
    <col min="9715" max="9716" width="6.7109375" style="60" customWidth="1"/>
    <col min="9717" max="9717" width="8.85546875" style="60" customWidth="1"/>
    <col min="9718" max="9719" width="7.5703125" style="60" customWidth="1"/>
    <col min="9720" max="9720" width="7.7109375" style="60" customWidth="1"/>
    <col min="9721" max="9722" width="8.28515625" style="60" customWidth="1"/>
    <col min="9723" max="9723" width="6.28515625" style="60" customWidth="1"/>
    <col min="9724" max="9725" width="8.7109375" style="60" customWidth="1"/>
    <col min="9726" max="9726" width="9.5703125" style="60" customWidth="1"/>
    <col min="9727" max="9727" width="8.7109375" style="60" customWidth="1"/>
    <col min="9728" max="9728" width="14.5703125" style="60" customWidth="1"/>
    <col min="9729" max="9729" width="8.7109375" style="60" customWidth="1"/>
    <col min="9730" max="9730" width="10.42578125" style="60" customWidth="1"/>
    <col min="9731" max="9733" width="8.7109375" style="60" customWidth="1"/>
    <col min="9734" max="9734" width="9" style="60"/>
    <col min="9735" max="9736" width="8.7109375" style="60" customWidth="1"/>
    <col min="9737" max="9737" width="4.28515625" style="60" customWidth="1"/>
    <col min="9738" max="9738" width="7" style="60" customWidth="1"/>
    <col min="9739" max="9739" width="4.28515625" style="60" customWidth="1"/>
    <col min="9740" max="9740" width="7.7109375" style="60" customWidth="1"/>
    <col min="9741" max="9957" width="9" style="60"/>
    <col min="9958" max="9958" width="1.42578125" style="60" customWidth="1"/>
    <col min="9959" max="9959" width="31.85546875" style="60" customWidth="1"/>
    <col min="9960" max="9960" width="8.28515625" style="60" customWidth="1"/>
    <col min="9961" max="9961" width="9.7109375" style="60" customWidth="1"/>
    <col min="9962" max="9962" width="8.28515625" style="60" customWidth="1"/>
    <col min="9963" max="9963" width="6.5703125" style="60" customWidth="1"/>
    <col min="9964" max="9964" width="14" style="60" customWidth="1"/>
    <col min="9965" max="9965" width="6.7109375" style="60" customWidth="1"/>
    <col min="9966" max="9966" width="8.85546875" style="60" customWidth="1"/>
    <col min="9967" max="9967" width="7.7109375" style="60" customWidth="1"/>
    <col min="9968" max="9968" width="7.28515625" style="60" customWidth="1"/>
    <col min="9969" max="9969" width="7.7109375" style="60" customWidth="1"/>
    <col min="9970" max="9970" width="8.28515625" style="60" customWidth="1"/>
    <col min="9971" max="9972" width="6.7109375" style="60" customWidth="1"/>
    <col min="9973" max="9973" width="8.85546875" style="60" customWidth="1"/>
    <col min="9974" max="9975" width="7.5703125" style="60" customWidth="1"/>
    <col min="9976" max="9976" width="7.7109375" style="60" customWidth="1"/>
    <col min="9977" max="9978" width="8.28515625" style="60" customWidth="1"/>
    <col min="9979" max="9979" width="6.28515625" style="60" customWidth="1"/>
    <col min="9980" max="9981" width="8.7109375" style="60" customWidth="1"/>
    <col min="9982" max="9982" width="9.5703125" style="60" customWidth="1"/>
    <col min="9983" max="9983" width="8.7109375" style="60" customWidth="1"/>
    <col min="9984" max="9984" width="14.5703125" style="60" customWidth="1"/>
    <col min="9985" max="9985" width="8.7109375" style="60" customWidth="1"/>
    <col min="9986" max="9986" width="10.42578125" style="60" customWidth="1"/>
    <col min="9987" max="9989" width="8.7109375" style="60" customWidth="1"/>
    <col min="9990" max="9990" width="9" style="60"/>
    <col min="9991" max="9992" width="8.7109375" style="60" customWidth="1"/>
    <col min="9993" max="9993" width="4.28515625" style="60" customWidth="1"/>
    <col min="9994" max="9994" width="7" style="60" customWidth="1"/>
    <col min="9995" max="9995" width="4.28515625" style="60" customWidth="1"/>
    <col min="9996" max="9996" width="7.7109375" style="60" customWidth="1"/>
    <col min="9997" max="10213" width="9" style="60"/>
    <col min="10214" max="10214" width="1.42578125" style="60" customWidth="1"/>
    <col min="10215" max="10215" width="31.85546875" style="60" customWidth="1"/>
    <col min="10216" max="10216" width="8.28515625" style="60" customWidth="1"/>
    <col min="10217" max="10217" width="9.7109375" style="60" customWidth="1"/>
    <col min="10218" max="10218" width="8.28515625" style="60" customWidth="1"/>
    <col min="10219" max="10219" width="6.5703125" style="60" customWidth="1"/>
    <col min="10220" max="10220" width="14" style="60" customWidth="1"/>
    <col min="10221" max="10221" width="6.7109375" style="60" customWidth="1"/>
    <col min="10222" max="10222" width="8.85546875" style="60" customWidth="1"/>
    <col min="10223" max="10223" width="7.7109375" style="60" customWidth="1"/>
    <col min="10224" max="10224" width="7.28515625" style="60" customWidth="1"/>
    <col min="10225" max="10225" width="7.7109375" style="60" customWidth="1"/>
    <col min="10226" max="10226" width="8.28515625" style="60" customWidth="1"/>
    <col min="10227" max="10228" width="6.7109375" style="60" customWidth="1"/>
    <col min="10229" max="10229" width="8.85546875" style="60" customWidth="1"/>
    <col min="10230" max="10231" width="7.5703125" style="60" customWidth="1"/>
    <col min="10232" max="10232" width="7.7109375" style="60" customWidth="1"/>
    <col min="10233" max="10234" width="8.28515625" style="60" customWidth="1"/>
    <col min="10235" max="10235" width="6.28515625" style="60" customWidth="1"/>
    <col min="10236" max="10237" width="8.7109375" style="60" customWidth="1"/>
    <col min="10238" max="10238" width="9.5703125" style="60" customWidth="1"/>
    <col min="10239" max="10239" width="8.7109375" style="60" customWidth="1"/>
    <col min="10240" max="10240" width="14.5703125" style="60" customWidth="1"/>
    <col min="10241" max="10241" width="8.7109375" style="60" customWidth="1"/>
    <col min="10242" max="10242" width="10.42578125" style="60" customWidth="1"/>
    <col min="10243" max="10245" width="8.7109375" style="60" customWidth="1"/>
    <col min="10246" max="10246" width="9" style="60"/>
    <col min="10247" max="10248" width="8.7109375" style="60" customWidth="1"/>
    <col min="10249" max="10249" width="4.28515625" style="60" customWidth="1"/>
    <col min="10250" max="10250" width="7" style="60" customWidth="1"/>
    <col min="10251" max="10251" width="4.28515625" style="60" customWidth="1"/>
    <col min="10252" max="10252" width="7.7109375" style="60" customWidth="1"/>
    <col min="10253" max="10469" width="9" style="60"/>
    <col min="10470" max="10470" width="1.42578125" style="60" customWidth="1"/>
    <col min="10471" max="10471" width="31.85546875" style="60" customWidth="1"/>
    <col min="10472" max="10472" width="8.28515625" style="60" customWidth="1"/>
    <col min="10473" max="10473" width="9.7109375" style="60" customWidth="1"/>
    <col min="10474" max="10474" width="8.28515625" style="60" customWidth="1"/>
    <col min="10475" max="10475" width="6.5703125" style="60" customWidth="1"/>
    <col min="10476" max="10476" width="14" style="60" customWidth="1"/>
    <col min="10477" max="10477" width="6.7109375" style="60" customWidth="1"/>
    <col min="10478" max="10478" width="8.85546875" style="60" customWidth="1"/>
    <col min="10479" max="10479" width="7.7109375" style="60" customWidth="1"/>
    <col min="10480" max="10480" width="7.28515625" style="60" customWidth="1"/>
    <col min="10481" max="10481" width="7.7109375" style="60" customWidth="1"/>
    <col min="10482" max="10482" width="8.28515625" style="60" customWidth="1"/>
    <col min="10483" max="10484" width="6.7109375" style="60" customWidth="1"/>
    <col min="10485" max="10485" width="8.85546875" style="60" customWidth="1"/>
    <col min="10486" max="10487" width="7.5703125" style="60" customWidth="1"/>
    <col min="10488" max="10488" width="7.7109375" style="60" customWidth="1"/>
    <col min="10489" max="10490" width="8.28515625" style="60" customWidth="1"/>
    <col min="10491" max="10491" width="6.28515625" style="60" customWidth="1"/>
    <col min="10492" max="10493" width="8.7109375" style="60" customWidth="1"/>
    <col min="10494" max="10494" width="9.5703125" style="60" customWidth="1"/>
    <col min="10495" max="10495" width="8.7109375" style="60" customWidth="1"/>
    <col min="10496" max="10496" width="14.5703125" style="60" customWidth="1"/>
    <col min="10497" max="10497" width="8.7109375" style="60" customWidth="1"/>
    <col min="10498" max="10498" width="10.42578125" style="60" customWidth="1"/>
    <col min="10499" max="10501" width="8.7109375" style="60" customWidth="1"/>
    <col min="10502" max="10502" width="9" style="60"/>
    <col min="10503" max="10504" width="8.7109375" style="60" customWidth="1"/>
    <col min="10505" max="10505" width="4.28515625" style="60" customWidth="1"/>
    <col min="10506" max="10506" width="7" style="60" customWidth="1"/>
    <col min="10507" max="10507" width="4.28515625" style="60" customWidth="1"/>
    <col min="10508" max="10508" width="7.7109375" style="60" customWidth="1"/>
    <col min="10509" max="10725" width="9" style="60"/>
    <col min="10726" max="10726" width="1.42578125" style="60" customWidth="1"/>
    <col min="10727" max="10727" width="31.85546875" style="60" customWidth="1"/>
    <col min="10728" max="10728" width="8.28515625" style="60" customWidth="1"/>
    <col min="10729" max="10729" width="9.7109375" style="60" customWidth="1"/>
    <col min="10730" max="10730" width="8.28515625" style="60" customWidth="1"/>
    <col min="10731" max="10731" width="6.5703125" style="60" customWidth="1"/>
    <col min="10732" max="10732" width="14" style="60" customWidth="1"/>
    <col min="10733" max="10733" width="6.7109375" style="60" customWidth="1"/>
    <col min="10734" max="10734" width="8.85546875" style="60" customWidth="1"/>
    <col min="10735" max="10735" width="7.7109375" style="60" customWidth="1"/>
    <col min="10736" max="10736" width="7.28515625" style="60" customWidth="1"/>
    <col min="10737" max="10737" width="7.7109375" style="60" customWidth="1"/>
    <col min="10738" max="10738" width="8.28515625" style="60" customWidth="1"/>
    <col min="10739" max="10740" width="6.7109375" style="60" customWidth="1"/>
    <col min="10741" max="10741" width="8.85546875" style="60" customWidth="1"/>
    <col min="10742" max="10743" width="7.5703125" style="60" customWidth="1"/>
    <col min="10744" max="10744" width="7.7109375" style="60" customWidth="1"/>
    <col min="10745" max="10746" width="8.28515625" style="60" customWidth="1"/>
    <col min="10747" max="10747" width="6.28515625" style="60" customWidth="1"/>
    <col min="10748" max="10749" width="8.7109375" style="60" customWidth="1"/>
    <col min="10750" max="10750" width="9.5703125" style="60" customWidth="1"/>
    <col min="10751" max="10751" width="8.7109375" style="60" customWidth="1"/>
    <col min="10752" max="10752" width="14.5703125" style="60" customWidth="1"/>
    <col min="10753" max="10753" width="8.7109375" style="60" customWidth="1"/>
    <col min="10754" max="10754" width="10.42578125" style="60" customWidth="1"/>
    <col min="10755" max="10757" width="8.7109375" style="60" customWidth="1"/>
    <col min="10758" max="10758" width="9" style="60"/>
    <col min="10759" max="10760" width="8.7109375" style="60" customWidth="1"/>
    <col min="10761" max="10761" width="4.28515625" style="60" customWidth="1"/>
    <col min="10762" max="10762" width="7" style="60" customWidth="1"/>
    <col min="10763" max="10763" width="4.28515625" style="60" customWidth="1"/>
    <col min="10764" max="10764" width="7.7109375" style="60" customWidth="1"/>
    <col min="10765" max="10981" width="9" style="60"/>
    <col min="10982" max="10982" width="1.42578125" style="60" customWidth="1"/>
    <col min="10983" max="10983" width="31.85546875" style="60" customWidth="1"/>
    <col min="10984" max="10984" width="8.28515625" style="60" customWidth="1"/>
    <col min="10985" max="10985" width="9.7109375" style="60" customWidth="1"/>
    <col min="10986" max="10986" width="8.28515625" style="60" customWidth="1"/>
    <col min="10987" max="10987" width="6.5703125" style="60" customWidth="1"/>
    <col min="10988" max="10988" width="14" style="60" customWidth="1"/>
    <col min="10989" max="10989" width="6.7109375" style="60" customWidth="1"/>
    <col min="10990" max="10990" width="8.85546875" style="60" customWidth="1"/>
    <col min="10991" max="10991" width="7.7109375" style="60" customWidth="1"/>
    <col min="10992" max="10992" width="7.28515625" style="60" customWidth="1"/>
    <col min="10993" max="10993" width="7.7109375" style="60" customWidth="1"/>
    <col min="10994" max="10994" width="8.28515625" style="60" customWidth="1"/>
    <col min="10995" max="10996" width="6.7109375" style="60" customWidth="1"/>
    <col min="10997" max="10997" width="8.85546875" style="60" customWidth="1"/>
    <col min="10998" max="10999" width="7.5703125" style="60" customWidth="1"/>
    <col min="11000" max="11000" width="7.7109375" style="60" customWidth="1"/>
    <col min="11001" max="11002" width="8.28515625" style="60" customWidth="1"/>
    <col min="11003" max="11003" width="6.28515625" style="60" customWidth="1"/>
    <col min="11004" max="11005" width="8.7109375" style="60" customWidth="1"/>
    <col min="11006" max="11006" width="9.5703125" style="60" customWidth="1"/>
    <col min="11007" max="11007" width="8.7109375" style="60" customWidth="1"/>
    <col min="11008" max="11008" width="14.5703125" style="60" customWidth="1"/>
    <col min="11009" max="11009" width="8.7109375" style="60" customWidth="1"/>
    <col min="11010" max="11010" width="10.42578125" style="60" customWidth="1"/>
    <col min="11011" max="11013" width="8.7109375" style="60" customWidth="1"/>
    <col min="11014" max="11014" width="9" style="60"/>
    <col min="11015" max="11016" width="8.7109375" style="60" customWidth="1"/>
    <col min="11017" max="11017" width="4.28515625" style="60" customWidth="1"/>
    <col min="11018" max="11018" width="7" style="60" customWidth="1"/>
    <col min="11019" max="11019" width="4.28515625" style="60" customWidth="1"/>
    <col min="11020" max="11020" width="7.7109375" style="60" customWidth="1"/>
    <col min="11021" max="11237" width="9" style="60"/>
    <col min="11238" max="11238" width="1.42578125" style="60" customWidth="1"/>
    <col min="11239" max="11239" width="31.85546875" style="60" customWidth="1"/>
    <col min="11240" max="11240" width="8.28515625" style="60" customWidth="1"/>
    <col min="11241" max="11241" width="9.7109375" style="60" customWidth="1"/>
    <col min="11242" max="11242" width="8.28515625" style="60" customWidth="1"/>
    <col min="11243" max="11243" width="6.5703125" style="60" customWidth="1"/>
    <col min="11244" max="11244" width="14" style="60" customWidth="1"/>
    <col min="11245" max="11245" width="6.7109375" style="60" customWidth="1"/>
    <col min="11246" max="11246" width="8.85546875" style="60" customWidth="1"/>
    <col min="11247" max="11247" width="7.7109375" style="60" customWidth="1"/>
    <col min="11248" max="11248" width="7.28515625" style="60" customWidth="1"/>
    <col min="11249" max="11249" width="7.7109375" style="60" customWidth="1"/>
    <col min="11250" max="11250" width="8.28515625" style="60" customWidth="1"/>
    <col min="11251" max="11252" width="6.7109375" style="60" customWidth="1"/>
    <col min="11253" max="11253" width="8.85546875" style="60" customWidth="1"/>
    <col min="11254" max="11255" width="7.5703125" style="60" customWidth="1"/>
    <col min="11256" max="11256" width="7.7109375" style="60" customWidth="1"/>
    <col min="11257" max="11258" width="8.28515625" style="60" customWidth="1"/>
    <col min="11259" max="11259" width="6.28515625" style="60" customWidth="1"/>
    <col min="11260" max="11261" width="8.7109375" style="60" customWidth="1"/>
    <col min="11262" max="11262" width="9.5703125" style="60" customWidth="1"/>
    <col min="11263" max="11263" width="8.7109375" style="60" customWidth="1"/>
    <col min="11264" max="11264" width="14.5703125" style="60" customWidth="1"/>
    <col min="11265" max="11265" width="8.7109375" style="60" customWidth="1"/>
    <col min="11266" max="11266" width="10.42578125" style="60" customWidth="1"/>
    <col min="11267" max="11269" width="8.7109375" style="60" customWidth="1"/>
    <col min="11270" max="11270" width="9" style="60"/>
    <col min="11271" max="11272" width="8.7109375" style="60" customWidth="1"/>
    <col min="11273" max="11273" width="4.28515625" style="60" customWidth="1"/>
    <col min="11274" max="11274" width="7" style="60" customWidth="1"/>
    <col min="11275" max="11275" width="4.28515625" style="60" customWidth="1"/>
    <col min="11276" max="11276" width="7.7109375" style="60" customWidth="1"/>
    <col min="11277" max="11493" width="9" style="60"/>
    <col min="11494" max="11494" width="1.42578125" style="60" customWidth="1"/>
    <col min="11495" max="11495" width="31.85546875" style="60" customWidth="1"/>
    <col min="11496" max="11496" width="8.28515625" style="60" customWidth="1"/>
    <col min="11497" max="11497" width="9.7109375" style="60" customWidth="1"/>
    <col min="11498" max="11498" width="8.28515625" style="60" customWidth="1"/>
    <col min="11499" max="11499" width="6.5703125" style="60" customWidth="1"/>
    <col min="11500" max="11500" width="14" style="60" customWidth="1"/>
    <col min="11501" max="11501" width="6.7109375" style="60" customWidth="1"/>
    <col min="11502" max="11502" width="8.85546875" style="60" customWidth="1"/>
    <col min="11503" max="11503" width="7.7109375" style="60" customWidth="1"/>
    <col min="11504" max="11504" width="7.28515625" style="60" customWidth="1"/>
    <col min="11505" max="11505" width="7.7109375" style="60" customWidth="1"/>
    <col min="11506" max="11506" width="8.28515625" style="60" customWidth="1"/>
    <col min="11507" max="11508" width="6.7109375" style="60" customWidth="1"/>
    <col min="11509" max="11509" width="8.85546875" style="60" customWidth="1"/>
    <col min="11510" max="11511" width="7.5703125" style="60" customWidth="1"/>
    <col min="11512" max="11512" width="7.7109375" style="60" customWidth="1"/>
    <col min="11513" max="11514" width="8.28515625" style="60" customWidth="1"/>
    <col min="11515" max="11515" width="6.28515625" style="60" customWidth="1"/>
    <col min="11516" max="11517" width="8.7109375" style="60" customWidth="1"/>
    <col min="11518" max="11518" width="9.5703125" style="60" customWidth="1"/>
    <col min="11519" max="11519" width="8.7109375" style="60" customWidth="1"/>
    <col min="11520" max="11520" width="14.5703125" style="60" customWidth="1"/>
    <col min="11521" max="11521" width="8.7109375" style="60" customWidth="1"/>
    <col min="11522" max="11522" width="10.42578125" style="60" customWidth="1"/>
    <col min="11523" max="11525" width="8.7109375" style="60" customWidth="1"/>
    <col min="11526" max="11526" width="9" style="60"/>
    <col min="11527" max="11528" width="8.7109375" style="60" customWidth="1"/>
    <col min="11529" max="11529" width="4.28515625" style="60" customWidth="1"/>
    <col min="11530" max="11530" width="7" style="60" customWidth="1"/>
    <col min="11531" max="11531" width="4.28515625" style="60" customWidth="1"/>
    <col min="11532" max="11532" width="7.7109375" style="60" customWidth="1"/>
    <col min="11533" max="11749" width="9" style="60"/>
    <col min="11750" max="11750" width="1.42578125" style="60" customWidth="1"/>
    <col min="11751" max="11751" width="31.85546875" style="60" customWidth="1"/>
    <col min="11752" max="11752" width="8.28515625" style="60" customWidth="1"/>
    <col min="11753" max="11753" width="9.7109375" style="60" customWidth="1"/>
    <col min="11754" max="11754" width="8.28515625" style="60" customWidth="1"/>
    <col min="11755" max="11755" width="6.5703125" style="60" customWidth="1"/>
    <col min="11756" max="11756" width="14" style="60" customWidth="1"/>
    <col min="11757" max="11757" width="6.7109375" style="60" customWidth="1"/>
    <col min="11758" max="11758" width="8.85546875" style="60" customWidth="1"/>
    <col min="11759" max="11759" width="7.7109375" style="60" customWidth="1"/>
    <col min="11760" max="11760" width="7.28515625" style="60" customWidth="1"/>
    <col min="11761" max="11761" width="7.7109375" style="60" customWidth="1"/>
    <col min="11762" max="11762" width="8.28515625" style="60" customWidth="1"/>
    <col min="11763" max="11764" width="6.7109375" style="60" customWidth="1"/>
    <col min="11765" max="11765" width="8.85546875" style="60" customWidth="1"/>
    <col min="11766" max="11767" width="7.5703125" style="60" customWidth="1"/>
    <col min="11768" max="11768" width="7.7109375" style="60" customWidth="1"/>
    <col min="11769" max="11770" width="8.28515625" style="60" customWidth="1"/>
    <col min="11771" max="11771" width="6.28515625" style="60" customWidth="1"/>
    <col min="11772" max="11773" width="8.7109375" style="60" customWidth="1"/>
    <col min="11774" max="11774" width="9.5703125" style="60" customWidth="1"/>
    <col min="11775" max="11775" width="8.7109375" style="60" customWidth="1"/>
    <col min="11776" max="11776" width="14.5703125" style="60" customWidth="1"/>
    <col min="11777" max="11777" width="8.7109375" style="60" customWidth="1"/>
    <col min="11778" max="11778" width="10.42578125" style="60" customWidth="1"/>
    <col min="11779" max="11781" width="8.7109375" style="60" customWidth="1"/>
    <col min="11782" max="11782" width="9" style="60"/>
    <col min="11783" max="11784" width="8.7109375" style="60" customWidth="1"/>
    <col min="11785" max="11785" width="4.28515625" style="60" customWidth="1"/>
    <col min="11786" max="11786" width="7" style="60" customWidth="1"/>
    <col min="11787" max="11787" width="4.28515625" style="60" customWidth="1"/>
    <col min="11788" max="11788" width="7.7109375" style="60" customWidth="1"/>
    <col min="11789" max="12005" width="9" style="60"/>
    <col min="12006" max="12006" width="1.42578125" style="60" customWidth="1"/>
    <col min="12007" max="12007" width="31.85546875" style="60" customWidth="1"/>
    <col min="12008" max="12008" width="8.28515625" style="60" customWidth="1"/>
    <col min="12009" max="12009" width="9.7109375" style="60" customWidth="1"/>
    <col min="12010" max="12010" width="8.28515625" style="60" customWidth="1"/>
    <col min="12011" max="12011" width="6.5703125" style="60" customWidth="1"/>
    <col min="12012" max="12012" width="14" style="60" customWidth="1"/>
    <col min="12013" max="12013" width="6.7109375" style="60" customWidth="1"/>
    <col min="12014" max="12014" width="8.85546875" style="60" customWidth="1"/>
    <col min="12015" max="12015" width="7.7109375" style="60" customWidth="1"/>
    <col min="12016" max="12016" width="7.28515625" style="60" customWidth="1"/>
    <col min="12017" max="12017" width="7.7109375" style="60" customWidth="1"/>
    <col min="12018" max="12018" width="8.28515625" style="60" customWidth="1"/>
    <col min="12019" max="12020" width="6.7109375" style="60" customWidth="1"/>
    <col min="12021" max="12021" width="8.85546875" style="60" customWidth="1"/>
    <col min="12022" max="12023" width="7.5703125" style="60" customWidth="1"/>
    <col min="12024" max="12024" width="7.7109375" style="60" customWidth="1"/>
    <col min="12025" max="12026" width="8.28515625" style="60" customWidth="1"/>
    <col min="12027" max="12027" width="6.28515625" style="60" customWidth="1"/>
    <col min="12028" max="12029" width="8.7109375" style="60" customWidth="1"/>
    <col min="12030" max="12030" width="9.5703125" style="60" customWidth="1"/>
    <col min="12031" max="12031" width="8.7109375" style="60" customWidth="1"/>
    <col min="12032" max="12032" width="14.5703125" style="60" customWidth="1"/>
    <col min="12033" max="12033" width="8.7109375" style="60" customWidth="1"/>
    <col min="12034" max="12034" width="10.42578125" style="60" customWidth="1"/>
    <col min="12035" max="12037" width="8.7109375" style="60" customWidth="1"/>
    <col min="12038" max="12038" width="9" style="60"/>
    <col min="12039" max="12040" width="8.7109375" style="60" customWidth="1"/>
    <col min="12041" max="12041" width="4.28515625" style="60" customWidth="1"/>
    <col min="12042" max="12042" width="7" style="60" customWidth="1"/>
    <col min="12043" max="12043" width="4.28515625" style="60" customWidth="1"/>
    <col min="12044" max="12044" width="7.7109375" style="60" customWidth="1"/>
    <col min="12045" max="12261" width="9" style="60"/>
    <col min="12262" max="12262" width="1.42578125" style="60" customWidth="1"/>
    <col min="12263" max="12263" width="31.85546875" style="60" customWidth="1"/>
    <col min="12264" max="12264" width="8.28515625" style="60" customWidth="1"/>
    <col min="12265" max="12265" width="9.7109375" style="60" customWidth="1"/>
    <col min="12266" max="12266" width="8.28515625" style="60" customWidth="1"/>
    <col min="12267" max="12267" width="6.5703125" style="60" customWidth="1"/>
    <col min="12268" max="12268" width="14" style="60" customWidth="1"/>
    <col min="12269" max="12269" width="6.7109375" style="60" customWidth="1"/>
    <col min="12270" max="12270" width="8.85546875" style="60" customWidth="1"/>
    <col min="12271" max="12271" width="7.7109375" style="60" customWidth="1"/>
    <col min="12272" max="12272" width="7.28515625" style="60" customWidth="1"/>
    <col min="12273" max="12273" width="7.7109375" style="60" customWidth="1"/>
    <col min="12274" max="12274" width="8.28515625" style="60" customWidth="1"/>
    <col min="12275" max="12276" width="6.7109375" style="60" customWidth="1"/>
    <col min="12277" max="12277" width="8.85546875" style="60" customWidth="1"/>
    <col min="12278" max="12279" width="7.5703125" style="60" customWidth="1"/>
    <col min="12280" max="12280" width="7.7109375" style="60" customWidth="1"/>
    <col min="12281" max="12282" width="8.28515625" style="60" customWidth="1"/>
    <col min="12283" max="12283" width="6.28515625" style="60" customWidth="1"/>
    <col min="12284" max="12285" width="8.7109375" style="60" customWidth="1"/>
    <col min="12286" max="12286" width="9.5703125" style="60" customWidth="1"/>
    <col min="12287" max="12287" width="8.7109375" style="60" customWidth="1"/>
    <col min="12288" max="12288" width="14.5703125" style="60" customWidth="1"/>
    <col min="12289" max="12289" width="8.7109375" style="60" customWidth="1"/>
    <col min="12290" max="12290" width="10.42578125" style="60" customWidth="1"/>
    <col min="12291" max="12293" width="8.7109375" style="60" customWidth="1"/>
    <col min="12294" max="12294" width="9" style="60"/>
    <col min="12295" max="12296" width="8.7109375" style="60" customWidth="1"/>
    <col min="12297" max="12297" width="4.28515625" style="60" customWidth="1"/>
    <col min="12298" max="12298" width="7" style="60" customWidth="1"/>
    <col min="12299" max="12299" width="4.28515625" style="60" customWidth="1"/>
    <col min="12300" max="12300" width="7.7109375" style="60" customWidth="1"/>
    <col min="12301" max="12517" width="9" style="60"/>
    <col min="12518" max="12518" width="1.42578125" style="60" customWidth="1"/>
    <col min="12519" max="12519" width="31.85546875" style="60" customWidth="1"/>
    <col min="12520" max="12520" width="8.28515625" style="60" customWidth="1"/>
    <col min="12521" max="12521" width="9.7109375" style="60" customWidth="1"/>
    <col min="12522" max="12522" width="8.28515625" style="60" customWidth="1"/>
    <col min="12523" max="12523" width="6.5703125" style="60" customWidth="1"/>
    <col min="12524" max="12524" width="14" style="60" customWidth="1"/>
    <col min="12525" max="12525" width="6.7109375" style="60" customWidth="1"/>
    <col min="12526" max="12526" width="8.85546875" style="60" customWidth="1"/>
    <col min="12527" max="12527" width="7.7109375" style="60" customWidth="1"/>
    <col min="12528" max="12528" width="7.28515625" style="60" customWidth="1"/>
    <col min="12529" max="12529" width="7.7109375" style="60" customWidth="1"/>
    <col min="12530" max="12530" width="8.28515625" style="60" customWidth="1"/>
    <col min="12531" max="12532" width="6.7109375" style="60" customWidth="1"/>
    <col min="12533" max="12533" width="8.85546875" style="60" customWidth="1"/>
    <col min="12534" max="12535" width="7.5703125" style="60" customWidth="1"/>
    <col min="12536" max="12536" width="7.7109375" style="60" customWidth="1"/>
    <col min="12537" max="12538" width="8.28515625" style="60" customWidth="1"/>
    <col min="12539" max="12539" width="6.28515625" style="60" customWidth="1"/>
    <col min="12540" max="12541" width="8.7109375" style="60" customWidth="1"/>
    <col min="12542" max="12542" width="9.5703125" style="60" customWidth="1"/>
    <col min="12543" max="12543" width="8.7109375" style="60" customWidth="1"/>
    <col min="12544" max="12544" width="14.5703125" style="60" customWidth="1"/>
    <col min="12545" max="12545" width="8.7109375" style="60" customWidth="1"/>
    <col min="12546" max="12546" width="10.42578125" style="60" customWidth="1"/>
    <col min="12547" max="12549" width="8.7109375" style="60" customWidth="1"/>
    <col min="12550" max="12550" width="9" style="60"/>
    <col min="12551" max="12552" width="8.7109375" style="60" customWidth="1"/>
    <col min="12553" max="12553" width="4.28515625" style="60" customWidth="1"/>
    <col min="12554" max="12554" width="7" style="60" customWidth="1"/>
    <col min="12555" max="12555" width="4.28515625" style="60" customWidth="1"/>
    <col min="12556" max="12556" width="7.7109375" style="60" customWidth="1"/>
    <col min="12557" max="12773" width="9" style="60"/>
    <col min="12774" max="12774" width="1.42578125" style="60" customWidth="1"/>
    <col min="12775" max="12775" width="31.85546875" style="60" customWidth="1"/>
    <col min="12776" max="12776" width="8.28515625" style="60" customWidth="1"/>
    <col min="12777" max="12777" width="9.7109375" style="60" customWidth="1"/>
    <col min="12778" max="12778" width="8.28515625" style="60" customWidth="1"/>
    <col min="12779" max="12779" width="6.5703125" style="60" customWidth="1"/>
    <col min="12780" max="12780" width="14" style="60" customWidth="1"/>
    <col min="12781" max="12781" width="6.7109375" style="60" customWidth="1"/>
    <col min="12782" max="12782" width="8.85546875" style="60" customWidth="1"/>
    <col min="12783" max="12783" width="7.7109375" style="60" customWidth="1"/>
    <col min="12784" max="12784" width="7.28515625" style="60" customWidth="1"/>
    <col min="12785" max="12785" width="7.7109375" style="60" customWidth="1"/>
    <col min="12786" max="12786" width="8.28515625" style="60" customWidth="1"/>
    <col min="12787" max="12788" width="6.7109375" style="60" customWidth="1"/>
    <col min="12789" max="12789" width="8.85546875" style="60" customWidth="1"/>
    <col min="12790" max="12791" width="7.5703125" style="60" customWidth="1"/>
    <col min="12792" max="12792" width="7.7109375" style="60" customWidth="1"/>
    <col min="12793" max="12794" width="8.28515625" style="60" customWidth="1"/>
    <col min="12795" max="12795" width="6.28515625" style="60" customWidth="1"/>
    <col min="12796" max="12797" width="8.7109375" style="60" customWidth="1"/>
    <col min="12798" max="12798" width="9.5703125" style="60" customWidth="1"/>
    <col min="12799" max="12799" width="8.7109375" style="60" customWidth="1"/>
    <col min="12800" max="12800" width="14.5703125" style="60" customWidth="1"/>
    <col min="12801" max="12801" width="8.7109375" style="60" customWidth="1"/>
    <col min="12802" max="12802" width="10.42578125" style="60" customWidth="1"/>
    <col min="12803" max="12805" width="8.7109375" style="60" customWidth="1"/>
    <col min="12806" max="12806" width="9" style="60"/>
    <col min="12807" max="12808" width="8.7109375" style="60" customWidth="1"/>
    <col min="12809" max="12809" width="4.28515625" style="60" customWidth="1"/>
    <col min="12810" max="12810" width="7" style="60" customWidth="1"/>
    <col min="12811" max="12811" width="4.28515625" style="60" customWidth="1"/>
    <col min="12812" max="12812" width="7.7109375" style="60" customWidth="1"/>
    <col min="12813" max="13029" width="9" style="60"/>
    <col min="13030" max="13030" width="1.42578125" style="60" customWidth="1"/>
    <col min="13031" max="13031" width="31.85546875" style="60" customWidth="1"/>
    <col min="13032" max="13032" width="8.28515625" style="60" customWidth="1"/>
    <col min="13033" max="13033" width="9.7109375" style="60" customWidth="1"/>
    <col min="13034" max="13034" width="8.28515625" style="60" customWidth="1"/>
    <col min="13035" max="13035" width="6.5703125" style="60" customWidth="1"/>
    <col min="13036" max="13036" width="14" style="60" customWidth="1"/>
    <col min="13037" max="13037" width="6.7109375" style="60" customWidth="1"/>
    <col min="13038" max="13038" width="8.85546875" style="60" customWidth="1"/>
    <col min="13039" max="13039" width="7.7109375" style="60" customWidth="1"/>
    <col min="13040" max="13040" width="7.28515625" style="60" customWidth="1"/>
    <col min="13041" max="13041" width="7.7109375" style="60" customWidth="1"/>
    <col min="13042" max="13042" width="8.28515625" style="60" customWidth="1"/>
    <col min="13043" max="13044" width="6.7109375" style="60" customWidth="1"/>
    <col min="13045" max="13045" width="8.85546875" style="60" customWidth="1"/>
    <col min="13046" max="13047" width="7.5703125" style="60" customWidth="1"/>
    <col min="13048" max="13048" width="7.7109375" style="60" customWidth="1"/>
    <col min="13049" max="13050" width="8.28515625" style="60" customWidth="1"/>
    <col min="13051" max="13051" width="6.28515625" style="60" customWidth="1"/>
    <col min="13052" max="13053" width="8.7109375" style="60" customWidth="1"/>
    <col min="13054" max="13054" width="9.5703125" style="60" customWidth="1"/>
    <col min="13055" max="13055" width="8.7109375" style="60" customWidth="1"/>
    <col min="13056" max="13056" width="14.5703125" style="60" customWidth="1"/>
    <col min="13057" max="13057" width="8.7109375" style="60" customWidth="1"/>
    <col min="13058" max="13058" width="10.42578125" style="60" customWidth="1"/>
    <col min="13059" max="13061" width="8.7109375" style="60" customWidth="1"/>
    <col min="13062" max="13062" width="9" style="60"/>
    <col min="13063" max="13064" width="8.7109375" style="60" customWidth="1"/>
    <col min="13065" max="13065" width="4.28515625" style="60" customWidth="1"/>
    <col min="13066" max="13066" width="7" style="60" customWidth="1"/>
    <col min="13067" max="13067" width="4.28515625" style="60" customWidth="1"/>
    <col min="13068" max="13068" width="7.7109375" style="60" customWidth="1"/>
    <col min="13069" max="13285" width="9" style="60"/>
    <col min="13286" max="13286" width="1.42578125" style="60" customWidth="1"/>
    <col min="13287" max="13287" width="31.85546875" style="60" customWidth="1"/>
    <col min="13288" max="13288" width="8.28515625" style="60" customWidth="1"/>
    <col min="13289" max="13289" width="9.7109375" style="60" customWidth="1"/>
    <col min="13290" max="13290" width="8.28515625" style="60" customWidth="1"/>
    <col min="13291" max="13291" width="6.5703125" style="60" customWidth="1"/>
    <col min="13292" max="13292" width="14" style="60" customWidth="1"/>
    <col min="13293" max="13293" width="6.7109375" style="60" customWidth="1"/>
    <col min="13294" max="13294" width="8.85546875" style="60" customWidth="1"/>
    <col min="13295" max="13295" width="7.7109375" style="60" customWidth="1"/>
    <col min="13296" max="13296" width="7.28515625" style="60" customWidth="1"/>
    <col min="13297" max="13297" width="7.7109375" style="60" customWidth="1"/>
    <col min="13298" max="13298" width="8.28515625" style="60" customWidth="1"/>
    <col min="13299" max="13300" width="6.7109375" style="60" customWidth="1"/>
    <col min="13301" max="13301" width="8.85546875" style="60" customWidth="1"/>
    <col min="13302" max="13303" width="7.5703125" style="60" customWidth="1"/>
    <col min="13304" max="13304" width="7.7109375" style="60" customWidth="1"/>
    <col min="13305" max="13306" width="8.28515625" style="60" customWidth="1"/>
    <col min="13307" max="13307" width="6.28515625" style="60" customWidth="1"/>
    <col min="13308" max="13309" width="8.7109375" style="60" customWidth="1"/>
    <col min="13310" max="13310" width="9.5703125" style="60" customWidth="1"/>
    <col min="13311" max="13311" width="8.7109375" style="60" customWidth="1"/>
    <col min="13312" max="13312" width="14.5703125" style="60" customWidth="1"/>
    <col min="13313" max="13313" width="8.7109375" style="60" customWidth="1"/>
    <col min="13314" max="13314" width="10.42578125" style="60" customWidth="1"/>
    <col min="13315" max="13317" width="8.7109375" style="60" customWidth="1"/>
    <col min="13318" max="13318" width="9" style="60"/>
    <col min="13319" max="13320" width="8.7109375" style="60" customWidth="1"/>
    <col min="13321" max="13321" width="4.28515625" style="60" customWidth="1"/>
    <col min="13322" max="13322" width="7" style="60" customWidth="1"/>
    <col min="13323" max="13323" width="4.28515625" style="60" customWidth="1"/>
    <col min="13324" max="13324" width="7.7109375" style="60" customWidth="1"/>
    <col min="13325" max="13541" width="9" style="60"/>
    <col min="13542" max="13542" width="1.42578125" style="60" customWidth="1"/>
    <col min="13543" max="13543" width="31.85546875" style="60" customWidth="1"/>
    <col min="13544" max="13544" width="8.28515625" style="60" customWidth="1"/>
    <col min="13545" max="13545" width="9.7109375" style="60" customWidth="1"/>
    <col min="13546" max="13546" width="8.28515625" style="60" customWidth="1"/>
    <col min="13547" max="13547" width="6.5703125" style="60" customWidth="1"/>
    <col min="13548" max="13548" width="14" style="60" customWidth="1"/>
    <col min="13549" max="13549" width="6.7109375" style="60" customWidth="1"/>
    <col min="13550" max="13550" width="8.85546875" style="60" customWidth="1"/>
    <col min="13551" max="13551" width="7.7109375" style="60" customWidth="1"/>
    <col min="13552" max="13552" width="7.28515625" style="60" customWidth="1"/>
    <col min="13553" max="13553" width="7.7109375" style="60" customWidth="1"/>
    <col min="13554" max="13554" width="8.28515625" style="60" customWidth="1"/>
    <col min="13555" max="13556" width="6.7109375" style="60" customWidth="1"/>
    <col min="13557" max="13557" width="8.85546875" style="60" customWidth="1"/>
    <col min="13558" max="13559" width="7.5703125" style="60" customWidth="1"/>
    <col min="13560" max="13560" width="7.7109375" style="60" customWidth="1"/>
    <col min="13561" max="13562" width="8.28515625" style="60" customWidth="1"/>
    <col min="13563" max="13563" width="6.28515625" style="60" customWidth="1"/>
    <col min="13564" max="13565" width="8.7109375" style="60" customWidth="1"/>
    <col min="13566" max="13566" width="9.5703125" style="60" customWidth="1"/>
    <col min="13567" max="13567" width="8.7109375" style="60" customWidth="1"/>
    <col min="13568" max="13568" width="14.5703125" style="60" customWidth="1"/>
    <col min="13569" max="13569" width="8.7109375" style="60" customWidth="1"/>
    <col min="13570" max="13570" width="10.42578125" style="60" customWidth="1"/>
    <col min="13571" max="13573" width="8.7109375" style="60" customWidth="1"/>
    <col min="13574" max="13574" width="9" style="60"/>
    <col min="13575" max="13576" width="8.7109375" style="60" customWidth="1"/>
    <col min="13577" max="13577" width="4.28515625" style="60" customWidth="1"/>
    <col min="13578" max="13578" width="7" style="60" customWidth="1"/>
    <col min="13579" max="13579" width="4.28515625" style="60" customWidth="1"/>
    <col min="13580" max="13580" width="7.7109375" style="60" customWidth="1"/>
    <col min="13581" max="13797" width="9" style="60"/>
    <col min="13798" max="13798" width="1.42578125" style="60" customWidth="1"/>
    <col min="13799" max="13799" width="31.85546875" style="60" customWidth="1"/>
    <col min="13800" max="13800" width="8.28515625" style="60" customWidth="1"/>
    <col min="13801" max="13801" width="9.7109375" style="60" customWidth="1"/>
    <col min="13802" max="13802" width="8.28515625" style="60" customWidth="1"/>
    <col min="13803" max="13803" width="6.5703125" style="60" customWidth="1"/>
    <col min="13804" max="13804" width="14" style="60" customWidth="1"/>
    <col min="13805" max="13805" width="6.7109375" style="60" customWidth="1"/>
    <col min="13806" max="13806" width="8.85546875" style="60" customWidth="1"/>
    <col min="13807" max="13807" width="7.7109375" style="60" customWidth="1"/>
    <col min="13808" max="13808" width="7.28515625" style="60" customWidth="1"/>
    <col min="13809" max="13809" width="7.7109375" style="60" customWidth="1"/>
    <col min="13810" max="13810" width="8.28515625" style="60" customWidth="1"/>
    <col min="13811" max="13812" width="6.7109375" style="60" customWidth="1"/>
    <col min="13813" max="13813" width="8.85546875" style="60" customWidth="1"/>
    <col min="13814" max="13815" width="7.5703125" style="60" customWidth="1"/>
    <col min="13816" max="13816" width="7.7109375" style="60" customWidth="1"/>
    <col min="13817" max="13818" width="8.28515625" style="60" customWidth="1"/>
    <col min="13819" max="13819" width="6.28515625" style="60" customWidth="1"/>
    <col min="13820" max="13821" width="8.7109375" style="60" customWidth="1"/>
    <col min="13822" max="13822" width="9.5703125" style="60" customWidth="1"/>
    <col min="13823" max="13823" width="8.7109375" style="60" customWidth="1"/>
    <col min="13824" max="13824" width="14.5703125" style="60" customWidth="1"/>
    <col min="13825" max="13825" width="8.7109375" style="60" customWidth="1"/>
    <col min="13826" max="13826" width="10.42578125" style="60" customWidth="1"/>
    <col min="13827" max="13829" width="8.7109375" style="60" customWidth="1"/>
    <col min="13830" max="13830" width="9" style="60"/>
    <col min="13831" max="13832" width="8.7109375" style="60" customWidth="1"/>
    <col min="13833" max="13833" width="4.28515625" style="60" customWidth="1"/>
    <col min="13834" max="13834" width="7" style="60" customWidth="1"/>
    <col min="13835" max="13835" width="4.28515625" style="60" customWidth="1"/>
    <col min="13836" max="13836" width="7.7109375" style="60" customWidth="1"/>
    <col min="13837" max="14053" width="9" style="60"/>
    <col min="14054" max="14054" width="1.42578125" style="60" customWidth="1"/>
    <col min="14055" max="14055" width="31.85546875" style="60" customWidth="1"/>
    <col min="14056" max="14056" width="8.28515625" style="60" customWidth="1"/>
    <col min="14057" max="14057" width="9.7109375" style="60" customWidth="1"/>
    <col min="14058" max="14058" width="8.28515625" style="60" customWidth="1"/>
    <col min="14059" max="14059" width="6.5703125" style="60" customWidth="1"/>
    <col min="14060" max="14060" width="14" style="60" customWidth="1"/>
    <col min="14061" max="14061" width="6.7109375" style="60" customWidth="1"/>
    <col min="14062" max="14062" width="8.85546875" style="60" customWidth="1"/>
    <col min="14063" max="14063" width="7.7109375" style="60" customWidth="1"/>
    <col min="14064" max="14064" width="7.28515625" style="60" customWidth="1"/>
    <col min="14065" max="14065" width="7.7109375" style="60" customWidth="1"/>
    <col min="14066" max="14066" width="8.28515625" style="60" customWidth="1"/>
    <col min="14067" max="14068" width="6.7109375" style="60" customWidth="1"/>
    <col min="14069" max="14069" width="8.85546875" style="60" customWidth="1"/>
    <col min="14070" max="14071" width="7.5703125" style="60" customWidth="1"/>
    <col min="14072" max="14072" width="7.7109375" style="60" customWidth="1"/>
    <col min="14073" max="14074" width="8.28515625" style="60" customWidth="1"/>
    <col min="14075" max="14075" width="6.28515625" style="60" customWidth="1"/>
    <col min="14076" max="14077" width="8.7109375" style="60" customWidth="1"/>
    <col min="14078" max="14078" width="9.5703125" style="60" customWidth="1"/>
    <col min="14079" max="14079" width="8.7109375" style="60" customWidth="1"/>
    <col min="14080" max="14080" width="14.5703125" style="60" customWidth="1"/>
    <col min="14081" max="14081" width="8.7109375" style="60" customWidth="1"/>
    <col min="14082" max="14082" width="10.42578125" style="60" customWidth="1"/>
    <col min="14083" max="14085" width="8.7109375" style="60" customWidth="1"/>
    <col min="14086" max="14086" width="9" style="60"/>
    <col min="14087" max="14088" width="8.7109375" style="60" customWidth="1"/>
    <col min="14089" max="14089" width="4.28515625" style="60" customWidth="1"/>
    <col min="14090" max="14090" width="7" style="60" customWidth="1"/>
    <col min="14091" max="14091" width="4.28515625" style="60" customWidth="1"/>
    <col min="14092" max="14092" width="7.7109375" style="60" customWidth="1"/>
    <col min="14093" max="14309" width="9" style="60"/>
    <col min="14310" max="14310" width="1.42578125" style="60" customWidth="1"/>
    <col min="14311" max="14311" width="31.85546875" style="60" customWidth="1"/>
    <col min="14312" max="14312" width="8.28515625" style="60" customWidth="1"/>
    <col min="14313" max="14313" width="9.7109375" style="60" customWidth="1"/>
    <col min="14314" max="14314" width="8.28515625" style="60" customWidth="1"/>
    <col min="14315" max="14315" width="6.5703125" style="60" customWidth="1"/>
    <col min="14316" max="14316" width="14" style="60" customWidth="1"/>
    <col min="14317" max="14317" width="6.7109375" style="60" customWidth="1"/>
    <col min="14318" max="14318" width="8.85546875" style="60" customWidth="1"/>
    <col min="14319" max="14319" width="7.7109375" style="60" customWidth="1"/>
    <col min="14320" max="14320" width="7.28515625" style="60" customWidth="1"/>
    <col min="14321" max="14321" width="7.7109375" style="60" customWidth="1"/>
    <col min="14322" max="14322" width="8.28515625" style="60" customWidth="1"/>
    <col min="14323" max="14324" width="6.7109375" style="60" customWidth="1"/>
    <col min="14325" max="14325" width="8.85546875" style="60" customWidth="1"/>
    <col min="14326" max="14327" width="7.5703125" style="60" customWidth="1"/>
    <col min="14328" max="14328" width="7.7109375" style="60" customWidth="1"/>
    <col min="14329" max="14330" width="8.28515625" style="60" customWidth="1"/>
    <col min="14331" max="14331" width="6.28515625" style="60" customWidth="1"/>
    <col min="14332" max="14333" width="8.7109375" style="60" customWidth="1"/>
    <col min="14334" max="14334" width="9.5703125" style="60" customWidth="1"/>
    <col min="14335" max="14335" width="8.7109375" style="60" customWidth="1"/>
    <col min="14336" max="14336" width="14.5703125" style="60" customWidth="1"/>
    <col min="14337" max="14337" width="8.7109375" style="60" customWidth="1"/>
    <col min="14338" max="14338" width="10.42578125" style="60" customWidth="1"/>
    <col min="14339" max="14341" width="8.7109375" style="60" customWidth="1"/>
    <col min="14342" max="14342" width="9" style="60"/>
    <col min="14343" max="14344" width="8.7109375" style="60" customWidth="1"/>
    <col min="14345" max="14345" width="4.28515625" style="60" customWidth="1"/>
    <col min="14346" max="14346" width="7" style="60" customWidth="1"/>
    <col min="14347" max="14347" width="4.28515625" style="60" customWidth="1"/>
    <col min="14348" max="14348" width="7.7109375" style="60" customWidth="1"/>
    <col min="14349" max="14565" width="9" style="60"/>
    <col min="14566" max="14566" width="1.42578125" style="60" customWidth="1"/>
    <col min="14567" max="14567" width="31.85546875" style="60" customWidth="1"/>
    <col min="14568" max="14568" width="8.28515625" style="60" customWidth="1"/>
    <col min="14569" max="14569" width="9.7109375" style="60" customWidth="1"/>
    <col min="14570" max="14570" width="8.28515625" style="60" customWidth="1"/>
    <col min="14571" max="14571" width="6.5703125" style="60" customWidth="1"/>
    <col min="14572" max="14572" width="14" style="60" customWidth="1"/>
    <col min="14573" max="14573" width="6.7109375" style="60" customWidth="1"/>
    <col min="14574" max="14574" width="8.85546875" style="60" customWidth="1"/>
    <col min="14575" max="14575" width="7.7109375" style="60" customWidth="1"/>
    <col min="14576" max="14576" width="7.28515625" style="60" customWidth="1"/>
    <col min="14577" max="14577" width="7.7109375" style="60" customWidth="1"/>
    <col min="14578" max="14578" width="8.28515625" style="60" customWidth="1"/>
    <col min="14579" max="14580" width="6.7109375" style="60" customWidth="1"/>
    <col min="14581" max="14581" width="8.85546875" style="60" customWidth="1"/>
    <col min="14582" max="14583" width="7.5703125" style="60" customWidth="1"/>
    <col min="14584" max="14584" width="7.7109375" style="60" customWidth="1"/>
    <col min="14585" max="14586" width="8.28515625" style="60" customWidth="1"/>
    <col min="14587" max="14587" width="6.28515625" style="60" customWidth="1"/>
    <col min="14588" max="14589" width="8.7109375" style="60" customWidth="1"/>
    <col min="14590" max="14590" width="9.5703125" style="60" customWidth="1"/>
    <col min="14591" max="14591" width="8.7109375" style="60" customWidth="1"/>
    <col min="14592" max="14592" width="14.5703125" style="60" customWidth="1"/>
    <col min="14593" max="14593" width="8.7109375" style="60" customWidth="1"/>
    <col min="14594" max="14594" width="10.42578125" style="60" customWidth="1"/>
    <col min="14595" max="14597" width="8.7109375" style="60" customWidth="1"/>
    <col min="14598" max="14598" width="9" style="60"/>
    <col min="14599" max="14600" width="8.7109375" style="60" customWidth="1"/>
    <col min="14601" max="14601" width="4.28515625" style="60" customWidth="1"/>
    <col min="14602" max="14602" width="7" style="60" customWidth="1"/>
    <col min="14603" max="14603" width="4.28515625" style="60" customWidth="1"/>
    <col min="14604" max="14604" width="7.7109375" style="60" customWidth="1"/>
    <col min="14605" max="14821" width="9" style="60"/>
    <col min="14822" max="14822" width="1.42578125" style="60" customWidth="1"/>
    <col min="14823" max="14823" width="31.85546875" style="60" customWidth="1"/>
    <col min="14824" max="14824" width="8.28515625" style="60" customWidth="1"/>
    <col min="14825" max="14825" width="9.7109375" style="60" customWidth="1"/>
    <col min="14826" max="14826" width="8.28515625" style="60" customWidth="1"/>
    <col min="14827" max="14827" width="6.5703125" style="60" customWidth="1"/>
    <col min="14828" max="14828" width="14" style="60" customWidth="1"/>
    <col min="14829" max="14829" width="6.7109375" style="60" customWidth="1"/>
    <col min="14830" max="14830" width="8.85546875" style="60" customWidth="1"/>
    <col min="14831" max="14831" width="7.7109375" style="60" customWidth="1"/>
    <col min="14832" max="14832" width="7.28515625" style="60" customWidth="1"/>
    <col min="14833" max="14833" width="7.7109375" style="60" customWidth="1"/>
    <col min="14834" max="14834" width="8.28515625" style="60" customWidth="1"/>
    <col min="14835" max="14836" width="6.7109375" style="60" customWidth="1"/>
    <col min="14837" max="14837" width="8.85546875" style="60" customWidth="1"/>
    <col min="14838" max="14839" width="7.5703125" style="60" customWidth="1"/>
    <col min="14840" max="14840" width="7.7109375" style="60" customWidth="1"/>
    <col min="14841" max="14842" width="8.28515625" style="60" customWidth="1"/>
    <col min="14843" max="14843" width="6.28515625" style="60" customWidth="1"/>
    <col min="14844" max="14845" width="8.7109375" style="60" customWidth="1"/>
    <col min="14846" max="14846" width="9.5703125" style="60" customWidth="1"/>
    <col min="14847" max="14847" width="8.7109375" style="60" customWidth="1"/>
    <col min="14848" max="14848" width="14.5703125" style="60" customWidth="1"/>
    <col min="14849" max="14849" width="8.7109375" style="60" customWidth="1"/>
    <col min="14850" max="14850" width="10.42578125" style="60" customWidth="1"/>
    <col min="14851" max="14853" width="8.7109375" style="60" customWidth="1"/>
    <col min="14854" max="14854" width="9" style="60"/>
    <col min="14855" max="14856" width="8.7109375" style="60" customWidth="1"/>
    <col min="14857" max="14857" width="4.28515625" style="60" customWidth="1"/>
    <col min="14858" max="14858" width="7" style="60" customWidth="1"/>
    <col min="14859" max="14859" width="4.28515625" style="60" customWidth="1"/>
    <col min="14860" max="14860" width="7.7109375" style="60" customWidth="1"/>
    <col min="14861" max="15077" width="9" style="60"/>
    <col min="15078" max="15078" width="1.42578125" style="60" customWidth="1"/>
    <col min="15079" max="15079" width="31.85546875" style="60" customWidth="1"/>
    <col min="15080" max="15080" width="8.28515625" style="60" customWidth="1"/>
    <col min="15081" max="15081" width="9.7109375" style="60" customWidth="1"/>
    <col min="15082" max="15082" width="8.28515625" style="60" customWidth="1"/>
    <col min="15083" max="15083" width="6.5703125" style="60" customWidth="1"/>
    <col min="15084" max="15084" width="14" style="60" customWidth="1"/>
    <col min="15085" max="15085" width="6.7109375" style="60" customWidth="1"/>
    <col min="15086" max="15086" width="8.85546875" style="60" customWidth="1"/>
    <col min="15087" max="15087" width="7.7109375" style="60" customWidth="1"/>
    <col min="15088" max="15088" width="7.28515625" style="60" customWidth="1"/>
    <col min="15089" max="15089" width="7.7109375" style="60" customWidth="1"/>
    <col min="15090" max="15090" width="8.28515625" style="60" customWidth="1"/>
    <col min="15091" max="15092" width="6.7109375" style="60" customWidth="1"/>
    <col min="15093" max="15093" width="8.85546875" style="60" customWidth="1"/>
    <col min="15094" max="15095" width="7.5703125" style="60" customWidth="1"/>
    <col min="15096" max="15096" width="7.7109375" style="60" customWidth="1"/>
    <col min="15097" max="15098" width="8.28515625" style="60" customWidth="1"/>
    <col min="15099" max="15099" width="6.28515625" style="60" customWidth="1"/>
    <col min="15100" max="15101" width="8.7109375" style="60" customWidth="1"/>
    <col min="15102" max="15102" width="9.5703125" style="60" customWidth="1"/>
    <col min="15103" max="15103" width="8.7109375" style="60" customWidth="1"/>
    <col min="15104" max="15104" width="14.5703125" style="60" customWidth="1"/>
    <col min="15105" max="15105" width="8.7109375" style="60" customWidth="1"/>
    <col min="15106" max="15106" width="10.42578125" style="60" customWidth="1"/>
    <col min="15107" max="15109" width="8.7109375" style="60" customWidth="1"/>
    <col min="15110" max="15110" width="9" style="60"/>
    <col min="15111" max="15112" width="8.7109375" style="60" customWidth="1"/>
    <col min="15113" max="15113" width="4.28515625" style="60" customWidth="1"/>
    <col min="15114" max="15114" width="7" style="60" customWidth="1"/>
    <col min="15115" max="15115" width="4.28515625" style="60" customWidth="1"/>
    <col min="15116" max="15116" width="7.7109375" style="60" customWidth="1"/>
    <col min="15117" max="15333" width="9" style="60"/>
    <col min="15334" max="15334" width="1.42578125" style="60" customWidth="1"/>
    <col min="15335" max="15335" width="31.85546875" style="60" customWidth="1"/>
    <col min="15336" max="15336" width="8.28515625" style="60" customWidth="1"/>
    <col min="15337" max="15337" width="9.7109375" style="60" customWidth="1"/>
    <col min="15338" max="15338" width="8.28515625" style="60" customWidth="1"/>
    <col min="15339" max="15339" width="6.5703125" style="60" customWidth="1"/>
    <col min="15340" max="15340" width="14" style="60" customWidth="1"/>
    <col min="15341" max="15341" width="6.7109375" style="60" customWidth="1"/>
    <col min="15342" max="15342" width="8.85546875" style="60" customWidth="1"/>
    <col min="15343" max="15343" width="7.7109375" style="60" customWidth="1"/>
    <col min="15344" max="15344" width="7.28515625" style="60" customWidth="1"/>
    <col min="15345" max="15345" width="7.7109375" style="60" customWidth="1"/>
    <col min="15346" max="15346" width="8.28515625" style="60" customWidth="1"/>
    <col min="15347" max="15348" width="6.7109375" style="60" customWidth="1"/>
    <col min="15349" max="15349" width="8.85546875" style="60" customWidth="1"/>
    <col min="15350" max="15351" width="7.5703125" style="60" customWidth="1"/>
    <col min="15352" max="15352" width="7.7109375" style="60" customWidth="1"/>
    <col min="15353" max="15354" width="8.28515625" style="60" customWidth="1"/>
    <col min="15355" max="15355" width="6.28515625" style="60" customWidth="1"/>
    <col min="15356" max="15357" width="8.7109375" style="60" customWidth="1"/>
    <col min="15358" max="15358" width="9.5703125" style="60" customWidth="1"/>
    <col min="15359" max="15359" width="8.7109375" style="60" customWidth="1"/>
    <col min="15360" max="15360" width="14.5703125" style="60" customWidth="1"/>
    <col min="15361" max="15361" width="8.7109375" style="60" customWidth="1"/>
    <col min="15362" max="15362" width="10.42578125" style="60" customWidth="1"/>
    <col min="15363" max="15365" width="8.7109375" style="60" customWidth="1"/>
    <col min="15366" max="15366" width="9" style="60"/>
    <col min="15367" max="15368" width="8.7109375" style="60" customWidth="1"/>
    <col min="15369" max="15369" width="4.28515625" style="60" customWidth="1"/>
    <col min="15370" max="15370" width="7" style="60" customWidth="1"/>
    <col min="15371" max="15371" width="4.28515625" style="60" customWidth="1"/>
    <col min="15372" max="15372" width="7.7109375" style="60" customWidth="1"/>
    <col min="15373" max="15589" width="9" style="60"/>
    <col min="15590" max="15590" width="1.42578125" style="60" customWidth="1"/>
    <col min="15591" max="15591" width="31.85546875" style="60" customWidth="1"/>
    <col min="15592" max="15592" width="8.28515625" style="60" customWidth="1"/>
    <col min="15593" max="15593" width="9.7109375" style="60" customWidth="1"/>
    <col min="15594" max="15594" width="8.28515625" style="60" customWidth="1"/>
    <col min="15595" max="15595" width="6.5703125" style="60" customWidth="1"/>
    <col min="15596" max="15596" width="14" style="60" customWidth="1"/>
    <col min="15597" max="15597" width="6.7109375" style="60" customWidth="1"/>
    <col min="15598" max="15598" width="8.85546875" style="60" customWidth="1"/>
    <col min="15599" max="15599" width="7.7109375" style="60" customWidth="1"/>
    <col min="15600" max="15600" width="7.28515625" style="60" customWidth="1"/>
    <col min="15601" max="15601" width="7.7109375" style="60" customWidth="1"/>
    <col min="15602" max="15602" width="8.28515625" style="60" customWidth="1"/>
    <col min="15603" max="15604" width="6.7109375" style="60" customWidth="1"/>
    <col min="15605" max="15605" width="8.85546875" style="60" customWidth="1"/>
    <col min="15606" max="15607" width="7.5703125" style="60" customWidth="1"/>
    <col min="15608" max="15608" width="7.7109375" style="60" customWidth="1"/>
    <col min="15609" max="15610" width="8.28515625" style="60" customWidth="1"/>
    <col min="15611" max="15611" width="6.28515625" style="60" customWidth="1"/>
    <col min="15612" max="15613" width="8.7109375" style="60" customWidth="1"/>
    <col min="15614" max="15614" width="9.5703125" style="60" customWidth="1"/>
    <col min="15615" max="15615" width="8.7109375" style="60" customWidth="1"/>
    <col min="15616" max="15616" width="14.5703125" style="60" customWidth="1"/>
    <col min="15617" max="15617" width="8.7109375" style="60" customWidth="1"/>
    <col min="15618" max="15618" width="10.42578125" style="60" customWidth="1"/>
    <col min="15619" max="15621" width="8.7109375" style="60" customWidth="1"/>
    <col min="15622" max="15622" width="9" style="60"/>
    <col min="15623" max="15624" width="8.7109375" style="60" customWidth="1"/>
    <col min="15625" max="15625" width="4.28515625" style="60" customWidth="1"/>
    <col min="15626" max="15626" width="7" style="60" customWidth="1"/>
    <col min="15627" max="15627" width="4.28515625" style="60" customWidth="1"/>
    <col min="15628" max="15628" width="7.7109375" style="60" customWidth="1"/>
    <col min="15629" max="15845" width="9" style="60"/>
    <col min="15846" max="15846" width="1.42578125" style="60" customWidth="1"/>
    <col min="15847" max="15847" width="31.85546875" style="60" customWidth="1"/>
    <col min="15848" max="15848" width="8.28515625" style="60" customWidth="1"/>
    <col min="15849" max="15849" width="9.7109375" style="60" customWidth="1"/>
    <col min="15850" max="15850" width="8.28515625" style="60" customWidth="1"/>
    <col min="15851" max="15851" width="6.5703125" style="60" customWidth="1"/>
    <col min="15852" max="15852" width="14" style="60" customWidth="1"/>
    <col min="15853" max="15853" width="6.7109375" style="60" customWidth="1"/>
    <col min="15854" max="15854" width="8.85546875" style="60" customWidth="1"/>
    <col min="15855" max="15855" width="7.7109375" style="60" customWidth="1"/>
    <col min="15856" max="15856" width="7.28515625" style="60" customWidth="1"/>
    <col min="15857" max="15857" width="7.7109375" style="60" customWidth="1"/>
    <col min="15858" max="15858" width="8.28515625" style="60" customWidth="1"/>
    <col min="15859" max="15860" width="6.7109375" style="60" customWidth="1"/>
    <col min="15861" max="15861" width="8.85546875" style="60" customWidth="1"/>
    <col min="15862" max="15863" width="7.5703125" style="60" customWidth="1"/>
    <col min="15864" max="15864" width="7.7109375" style="60" customWidth="1"/>
    <col min="15865" max="15866" width="8.28515625" style="60" customWidth="1"/>
    <col min="15867" max="15867" width="6.28515625" style="60" customWidth="1"/>
    <col min="15868" max="15869" width="8.7109375" style="60" customWidth="1"/>
    <col min="15870" max="15870" width="9.5703125" style="60" customWidth="1"/>
    <col min="15871" max="15871" width="8.7109375" style="60" customWidth="1"/>
    <col min="15872" max="15872" width="14.5703125" style="60" customWidth="1"/>
    <col min="15873" max="15873" width="8.7109375" style="60" customWidth="1"/>
    <col min="15874" max="15874" width="10.42578125" style="60" customWidth="1"/>
    <col min="15875" max="15877" width="8.7109375" style="60" customWidth="1"/>
    <col min="15878" max="15878" width="9" style="60"/>
    <col min="15879" max="15880" width="8.7109375" style="60" customWidth="1"/>
    <col min="15881" max="15881" width="4.28515625" style="60" customWidth="1"/>
    <col min="15882" max="15882" width="7" style="60" customWidth="1"/>
    <col min="15883" max="15883" width="4.28515625" style="60" customWidth="1"/>
    <col min="15884" max="15884" width="7.7109375" style="60" customWidth="1"/>
    <col min="15885" max="16101" width="9" style="60"/>
    <col min="16102" max="16102" width="1.42578125" style="60" customWidth="1"/>
    <col min="16103" max="16103" width="31.85546875" style="60" customWidth="1"/>
    <col min="16104" max="16104" width="8.28515625" style="60" customWidth="1"/>
    <col min="16105" max="16105" width="9.7109375" style="60" customWidth="1"/>
    <col min="16106" max="16106" width="8.28515625" style="60" customWidth="1"/>
    <col min="16107" max="16107" width="6.5703125" style="60" customWidth="1"/>
    <col min="16108" max="16108" width="14" style="60" customWidth="1"/>
    <col min="16109" max="16109" width="6.7109375" style="60" customWidth="1"/>
    <col min="16110" max="16110" width="8.85546875" style="60" customWidth="1"/>
    <col min="16111" max="16111" width="7.7109375" style="60" customWidth="1"/>
    <col min="16112" max="16112" width="7.28515625" style="60" customWidth="1"/>
    <col min="16113" max="16113" width="7.7109375" style="60" customWidth="1"/>
    <col min="16114" max="16114" width="8.28515625" style="60" customWidth="1"/>
    <col min="16115" max="16116" width="6.7109375" style="60" customWidth="1"/>
    <col min="16117" max="16117" width="8.85546875" style="60" customWidth="1"/>
    <col min="16118" max="16119" width="7.5703125" style="60" customWidth="1"/>
    <col min="16120" max="16120" width="7.7109375" style="60" customWidth="1"/>
    <col min="16121" max="16122" width="8.28515625" style="60" customWidth="1"/>
    <col min="16123" max="16123" width="6.28515625" style="60" customWidth="1"/>
    <col min="16124" max="16125" width="8.7109375" style="60" customWidth="1"/>
    <col min="16126" max="16126" width="9.5703125" style="60" customWidth="1"/>
    <col min="16127" max="16127" width="8.7109375" style="60" customWidth="1"/>
    <col min="16128" max="16128" width="14.5703125" style="60" customWidth="1"/>
    <col min="16129" max="16129" width="8.7109375" style="60" customWidth="1"/>
    <col min="16130" max="16130" width="10.42578125" style="60" customWidth="1"/>
    <col min="16131" max="16133" width="8.7109375" style="60" customWidth="1"/>
    <col min="16134" max="16134" width="9" style="60"/>
    <col min="16135" max="16136" width="8.7109375" style="60" customWidth="1"/>
    <col min="16137" max="16137" width="4.28515625" style="60" customWidth="1"/>
    <col min="16138" max="16138" width="7" style="60" customWidth="1"/>
    <col min="16139" max="16139" width="4.28515625" style="60" customWidth="1"/>
    <col min="16140" max="16140" width="7.7109375" style="60" customWidth="1"/>
    <col min="16141" max="16371" width="9" style="60"/>
    <col min="16372" max="16384" width="9.28515625" style="60" customWidth="1"/>
  </cols>
  <sheetData>
    <row r="1" spans="1:43" ht="14.1" customHeight="1" x14ac:dyDescent="0.25">
      <c r="C1" s="61"/>
      <c r="Q1" s="565"/>
      <c r="R1" s="654"/>
      <c r="S1" s="654"/>
      <c r="AQ1" s="60" t="s">
        <v>559</v>
      </c>
    </row>
    <row r="2" spans="1:43" ht="14.1" customHeight="1" x14ac:dyDescent="0.25">
      <c r="A2" s="655" t="s">
        <v>227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</row>
    <row r="3" spans="1:43" ht="14.1" customHeight="1" x14ac:dyDescent="0.25">
      <c r="A3" s="655" t="str">
        <f>Produksi!A3</f>
        <v>TAHUN 2025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</row>
    <row r="4" spans="1:43" ht="14.1" customHeight="1" x14ac:dyDescent="0.2">
      <c r="A4" s="328"/>
      <c r="B4" s="65"/>
      <c r="C4" s="66" t="s">
        <v>47</v>
      </c>
      <c r="D4" s="67"/>
      <c r="E4" s="67"/>
      <c r="F4" s="67"/>
      <c r="G4" s="656"/>
      <c r="H4" s="656"/>
      <c r="I4" s="656"/>
      <c r="J4" s="68"/>
      <c r="K4" s="67"/>
      <c r="L4" s="70"/>
      <c r="M4" s="71" t="s">
        <v>228</v>
      </c>
      <c r="N4" s="71"/>
      <c r="O4" s="68"/>
      <c r="P4" s="344"/>
      <c r="Q4" s="566">
        <f>Produksi!N4</f>
        <v>248105</v>
      </c>
      <c r="R4" s="262" t="s">
        <v>229</v>
      </c>
      <c r="S4" s="68"/>
    </row>
    <row r="5" spans="1:43" ht="14.1" customHeight="1" x14ac:dyDescent="0.2">
      <c r="A5" s="625" t="s">
        <v>48</v>
      </c>
      <c r="B5" s="625"/>
      <c r="C5" s="660"/>
      <c r="D5" s="661" t="s">
        <v>231</v>
      </c>
      <c r="E5" s="661"/>
      <c r="F5" s="661"/>
      <c r="G5" s="661"/>
      <c r="H5" s="661"/>
      <c r="I5" s="661" t="s">
        <v>566</v>
      </c>
      <c r="J5" s="661"/>
      <c r="K5" s="661"/>
      <c r="L5" s="661"/>
      <c r="M5" s="661"/>
      <c r="N5" s="661"/>
      <c r="O5" s="662" t="s">
        <v>233</v>
      </c>
      <c r="P5" s="651"/>
      <c r="Q5" s="651"/>
      <c r="R5" s="651"/>
      <c r="S5" s="651"/>
      <c r="T5" s="377"/>
      <c r="AC5" s="337"/>
    </row>
    <row r="6" spans="1:43" ht="14.1" customHeight="1" x14ac:dyDescent="0.2">
      <c r="A6" s="660"/>
      <c r="B6" s="660"/>
      <c r="C6" s="660"/>
      <c r="D6" s="649" t="s">
        <v>221</v>
      </c>
      <c r="E6" s="657" t="s">
        <v>178</v>
      </c>
      <c r="F6" s="649" t="s">
        <v>236</v>
      </c>
      <c r="G6" s="649" t="s">
        <v>237</v>
      </c>
      <c r="H6" s="658" t="s">
        <v>238</v>
      </c>
      <c r="I6" s="649" t="s">
        <v>239</v>
      </c>
      <c r="J6" s="657" t="s">
        <v>563</v>
      </c>
      <c r="K6" s="256" t="s">
        <v>241</v>
      </c>
      <c r="L6" s="649" t="s">
        <v>242</v>
      </c>
      <c r="M6" s="653" t="s">
        <v>243</v>
      </c>
      <c r="N6" s="256" t="s">
        <v>244</v>
      </c>
      <c r="O6" s="650" t="s">
        <v>246</v>
      </c>
      <c r="P6" s="651"/>
      <c r="Q6" s="651"/>
      <c r="R6" s="651"/>
      <c r="S6" s="651"/>
      <c r="T6" s="377"/>
      <c r="AC6" s="337"/>
    </row>
    <row r="7" spans="1:43" ht="14.1" customHeight="1" x14ac:dyDescent="0.2">
      <c r="A7" s="660"/>
      <c r="B7" s="660"/>
      <c r="C7" s="660"/>
      <c r="D7" s="649"/>
      <c r="E7" s="657"/>
      <c r="F7" s="649"/>
      <c r="G7" s="649"/>
      <c r="H7" s="658"/>
      <c r="I7" s="649"/>
      <c r="J7" s="657"/>
      <c r="K7" s="256" t="s">
        <v>250</v>
      </c>
      <c r="L7" s="649"/>
      <c r="M7" s="653"/>
      <c r="N7" s="256" t="s">
        <v>250</v>
      </c>
      <c r="O7" s="659" t="s">
        <v>251</v>
      </c>
      <c r="P7" s="329" t="s">
        <v>252</v>
      </c>
      <c r="Q7" s="541" t="s">
        <v>253</v>
      </c>
      <c r="R7" s="329" t="s">
        <v>254</v>
      </c>
      <c r="S7" s="329" t="s">
        <v>255</v>
      </c>
      <c r="T7" s="377"/>
      <c r="AC7" s="337"/>
    </row>
    <row r="8" spans="1:43" ht="14.1" customHeight="1" x14ac:dyDescent="0.2">
      <c r="A8" s="621" t="s">
        <v>49</v>
      </c>
      <c r="B8" s="621"/>
      <c r="C8" s="621"/>
      <c r="D8" s="648" t="s">
        <v>248</v>
      </c>
      <c r="E8" s="283" t="s">
        <v>259</v>
      </c>
      <c r="F8" s="648" t="s">
        <v>260</v>
      </c>
      <c r="G8" s="648" t="s">
        <v>261</v>
      </c>
      <c r="H8" s="658"/>
      <c r="I8" s="648" t="s">
        <v>262</v>
      </c>
      <c r="J8" s="648" t="s">
        <v>263</v>
      </c>
      <c r="K8" s="652" t="s">
        <v>367</v>
      </c>
      <c r="L8" s="648" t="s">
        <v>265</v>
      </c>
      <c r="M8" s="652" t="s">
        <v>266</v>
      </c>
      <c r="N8" s="648" t="s">
        <v>267</v>
      </c>
      <c r="O8" s="659"/>
      <c r="P8" s="329" t="s">
        <v>268</v>
      </c>
      <c r="Q8" s="283" t="s">
        <v>269</v>
      </c>
      <c r="R8" s="330" t="s">
        <v>270</v>
      </c>
      <c r="S8" s="330" t="s">
        <v>271</v>
      </c>
      <c r="T8" s="377"/>
      <c r="AC8" s="337"/>
    </row>
    <row r="9" spans="1:43" ht="14.1" customHeight="1" x14ac:dyDescent="0.2">
      <c r="A9" s="621"/>
      <c r="B9" s="621"/>
      <c r="C9" s="621"/>
      <c r="D9" s="648"/>
      <c r="E9" s="283" t="s">
        <v>275</v>
      </c>
      <c r="F9" s="648"/>
      <c r="G9" s="648"/>
      <c r="H9" s="658"/>
      <c r="I9" s="648"/>
      <c r="J9" s="648"/>
      <c r="K9" s="652"/>
      <c r="L9" s="648"/>
      <c r="M9" s="652"/>
      <c r="N9" s="648"/>
      <c r="O9" s="647" t="s">
        <v>276</v>
      </c>
      <c r="P9" s="330" t="s">
        <v>277</v>
      </c>
      <c r="Q9" s="541" t="s">
        <v>278</v>
      </c>
      <c r="R9" s="329" t="s">
        <v>279</v>
      </c>
      <c r="S9" s="329" t="s">
        <v>279</v>
      </c>
      <c r="T9" s="645" t="s">
        <v>281</v>
      </c>
      <c r="U9" s="646"/>
      <c r="V9" s="646"/>
      <c r="W9" s="646"/>
      <c r="X9" s="348"/>
      <c r="Y9" s="348"/>
      <c r="Z9" s="348"/>
      <c r="AA9" s="348"/>
      <c r="AB9" s="348"/>
      <c r="AC9" s="373"/>
    </row>
    <row r="10" spans="1:43" ht="14.1" customHeight="1" x14ac:dyDescent="0.2">
      <c r="A10" s="293"/>
      <c r="B10" s="331"/>
      <c r="C10" s="331"/>
      <c r="D10" s="648"/>
      <c r="E10" s="283" t="s">
        <v>282</v>
      </c>
      <c r="F10" s="648"/>
      <c r="G10" s="648"/>
      <c r="H10" s="658"/>
      <c r="I10" s="648"/>
      <c r="J10" s="648"/>
      <c r="K10" s="652"/>
      <c r="L10" s="648"/>
      <c r="M10" s="652"/>
      <c r="N10" s="648"/>
      <c r="O10" s="647"/>
      <c r="P10" s="330" t="s">
        <v>284</v>
      </c>
      <c r="Q10" s="283" t="s">
        <v>285</v>
      </c>
      <c r="R10" s="330" t="s">
        <v>286</v>
      </c>
      <c r="S10" s="330" t="s">
        <v>286</v>
      </c>
      <c r="T10" s="378"/>
      <c r="U10" s="379"/>
      <c r="V10" s="379"/>
      <c r="W10" s="379"/>
      <c r="X10" s="338"/>
      <c r="Y10" s="338"/>
      <c r="Z10" s="338"/>
      <c r="AA10" s="338"/>
      <c r="AB10" s="338"/>
      <c r="AC10" s="339"/>
    </row>
    <row r="11" spans="1:43" s="584" customFormat="1" ht="14.1" customHeight="1" x14ac:dyDescent="0.2">
      <c r="A11" s="643">
        <v>-1</v>
      </c>
      <c r="B11" s="643"/>
      <c r="C11" s="643"/>
      <c r="D11" s="316">
        <v>-2</v>
      </c>
      <c r="E11" s="316">
        <v>-3</v>
      </c>
      <c r="F11" s="316">
        <v>-4</v>
      </c>
      <c r="G11" s="316">
        <v>-5</v>
      </c>
      <c r="H11" s="316">
        <v>-6</v>
      </c>
      <c r="I11" s="316">
        <v>-7</v>
      </c>
      <c r="J11" s="316">
        <v>-8</v>
      </c>
      <c r="K11" s="316">
        <v>-9</v>
      </c>
      <c r="L11" s="316">
        <v>-10</v>
      </c>
      <c r="M11" s="316">
        <v>-11</v>
      </c>
      <c r="N11" s="316">
        <v>-12</v>
      </c>
      <c r="O11" s="316">
        <v>-13</v>
      </c>
      <c r="P11" s="316">
        <v>-14</v>
      </c>
      <c r="Q11" s="316">
        <v>-15</v>
      </c>
      <c r="R11" s="316">
        <v>-16</v>
      </c>
      <c r="S11" s="316">
        <v>-17</v>
      </c>
      <c r="T11" s="583" t="s">
        <v>287</v>
      </c>
      <c r="U11" s="583" t="s">
        <v>288</v>
      </c>
      <c r="V11" s="583" t="s">
        <v>289</v>
      </c>
      <c r="W11" s="583" t="s">
        <v>290</v>
      </c>
      <c r="X11" s="374" t="s">
        <v>291</v>
      </c>
      <c r="Y11" s="363" t="s">
        <v>292</v>
      </c>
      <c r="Z11" s="363" t="s">
        <v>293</v>
      </c>
      <c r="AA11" s="363" t="s">
        <v>294</v>
      </c>
      <c r="AB11" s="363" t="s">
        <v>295</v>
      </c>
      <c r="AC11" s="363" t="s">
        <v>296</v>
      </c>
      <c r="AD11" s="112"/>
      <c r="AE11" s="112"/>
    </row>
    <row r="12" spans="1:43" ht="14.1" customHeight="1" thickBot="1" x14ac:dyDescent="0.25">
      <c r="A12" s="286" t="s">
        <v>396</v>
      </c>
      <c r="B12" s="287"/>
      <c r="C12" s="28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332"/>
      <c r="P12" s="332"/>
      <c r="Q12" s="567">
        <f>SUM(Q13:Q16)</f>
        <v>905.92834762249072</v>
      </c>
      <c r="R12" s="340">
        <f>SUM(R13:R16)</f>
        <v>21.562939505404316</v>
      </c>
      <c r="S12" s="340">
        <f>SUM(S13:S16)</f>
        <v>5.0466765720898774</v>
      </c>
      <c r="T12" s="576"/>
      <c r="U12" s="575"/>
      <c r="V12" s="575"/>
      <c r="W12" s="574"/>
      <c r="X12" s="187"/>
      <c r="Y12" s="187"/>
      <c r="Z12" s="187"/>
      <c r="AA12" s="187"/>
      <c r="AB12" s="187"/>
      <c r="AC12" s="364"/>
      <c r="AD12" s="120"/>
      <c r="AE12" s="121"/>
    </row>
    <row r="13" spans="1:43" ht="14.1" customHeight="1" x14ac:dyDescent="0.2">
      <c r="A13" s="297">
        <v>1</v>
      </c>
      <c r="B13" s="282" t="s">
        <v>523</v>
      </c>
      <c r="C13" s="288"/>
      <c r="D13" s="133">
        <f>Produksi!F8</f>
        <v>16998.060199717966</v>
      </c>
      <c r="E13" s="333">
        <f>Stok!L7</f>
        <v>0</v>
      </c>
      <c r="F13" s="134">
        <f>'Impor_Pangan Masuk'!F7+'ESTIMASI  Ekspor Impor'!J13</f>
        <v>3945</v>
      </c>
      <c r="G13" s="134">
        <f>'Ekspor_Pangan Keluar'!F7+'ESTIMASI  Ekspor Impor'!K13</f>
        <v>0</v>
      </c>
      <c r="H13" s="134">
        <f>D13-E13+F13-G13</f>
        <v>20943.060199717966</v>
      </c>
      <c r="I13" s="134">
        <f>'Pemakaian Dalam Negeri REVISI'!E13</f>
        <v>28.896702339520541</v>
      </c>
      <c r="J13" s="334">
        <f>'Pemakaian Dalam Negeri REVISI'!F13</f>
        <v>0</v>
      </c>
      <c r="K13" s="134">
        <f>'Pemakaian Dalam Negeri REVISI'!G13</f>
        <v>0</v>
      </c>
      <c r="L13" s="134">
        <f>'Pemakaian Dalam Negeri REVISI'!H13</f>
        <v>424.95150499294914</v>
      </c>
      <c r="M13" s="134">
        <f>'Pemakaian Dalam Negeri REVISI'!I13</f>
        <v>112.18719731813857</v>
      </c>
      <c r="N13" s="134">
        <f>'Pemakaian Dalam Negeri REVISI'!J13</f>
        <v>20377.024795067358</v>
      </c>
      <c r="O13" s="126">
        <f>(N13+K13)/$Q$4*1000</f>
        <v>82.130649503506021</v>
      </c>
      <c r="P13" s="126">
        <f>O13/365*1000</f>
        <v>225.01547809179732</v>
      </c>
      <c r="Q13" s="568">
        <f>P13/100*T13/100*U13</f>
        <v>812.30587591138828</v>
      </c>
      <c r="R13" s="177">
        <f>P13/100*T13/100*V13</f>
        <v>19.733857428650623</v>
      </c>
      <c r="S13" s="178">
        <f>P13/100*T13/100*W13</f>
        <v>3.6002476494687574</v>
      </c>
      <c r="T13" s="576">
        <v>100</v>
      </c>
      <c r="U13" s="575">
        <v>361</v>
      </c>
      <c r="V13" s="575">
        <v>8.77</v>
      </c>
      <c r="W13" s="574">
        <v>1.6</v>
      </c>
      <c r="X13" s="187">
        <v>0</v>
      </c>
      <c r="Y13" s="187">
        <v>0.12</v>
      </c>
      <c r="Z13" s="187">
        <v>0</v>
      </c>
      <c r="AA13" s="187">
        <v>6</v>
      </c>
      <c r="AB13" s="187">
        <v>140</v>
      </c>
      <c r="AC13" s="364">
        <v>0.8</v>
      </c>
      <c r="AD13" s="120"/>
      <c r="AE13" s="120"/>
    </row>
    <row r="14" spans="1:43" ht="14.1" customHeight="1" x14ac:dyDescent="0.2">
      <c r="A14" s="297">
        <v>2</v>
      </c>
      <c r="B14" s="282" t="s">
        <v>530</v>
      </c>
      <c r="C14" s="345"/>
      <c r="D14" s="133">
        <f>Produksi!F9</f>
        <v>1843.0611375000001</v>
      </c>
      <c r="E14" s="333">
        <f>Stok!L8</f>
        <v>0</v>
      </c>
      <c r="F14" s="134">
        <f>'Impor_Pangan Masuk'!F8+'ESTIMASI  Ekspor Impor'!J14</f>
        <v>579</v>
      </c>
      <c r="G14" s="134">
        <f>'Ekspor_Pangan Keluar'!F8+'ESTIMASI  Ekspor Impor'!K14</f>
        <v>0</v>
      </c>
      <c r="H14" s="134">
        <f>D14-E14+F14-G14</f>
        <v>2422.0611374999999</v>
      </c>
      <c r="I14" s="134">
        <f>'Pemakaian Dalam Negeri REVISI'!E14</f>
        <v>0</v>
      </c>
      <c r="J14" s="346">
        <f>'Pemakaian Dalam Negeri REVISI'!F14</f>
        <v>0</v>
      </c>
      <c r="K14" s="134">
        <f>'Pemakaian Dalam Negeri REVISI'!G14</f>
        <v>507.42180830624994</v>
      </c>
      <c r="L14" s="134">
        <f>'Pemakaian Dalam Negeri REVISI'!H14</f>
        <v>111.89922455249999</v>
      </c>
      <c r="M14" s="134">
        <f>'Pemakaian Dalam Negeri REVISI'!I14</f>
        <v>0</v>
      </c>
      <c r="N14" s="134">
        <f>'Pemakaian Dalam Negeri REVISI'!J14</f>
        <v>1802.7401046412499</v>
      </c>
      <c r="O14" s="126">
        <f>(N14+K14)/$Q$4*1000</f>
        <v>9.3112267505592392</v>
      </c>
      <c r="P14" s="126">
        <f>O14/365*1000</f>
        <v>25.510210275504765</v>
      </c>
      <c r="Q14" s="122">
        <f>P14/100*T14/100*U14</f>
        <v>93.622471711102477</v>
      </c>
      <c r="R14" s="126">
        <f>P14/100*T14/100*V14</f>
        <v>1.8290820767536915</v>
      </c>
      <c r="S14" s="127">
        <f>P14/100*T14/100*W14</f>
        <v>1.44642892262112</v>
      </c>
      <c r="T14" s="576">
        <v>100</v>
      </c>
      <c r="U14" s="575">
        <v>367</v>
      </c>
      <c r="V14" s="575">
        <v>7.17</v>
      </c>
      <c r="W14" s="574">
        <v>5.67</v>
      </c>
      <c r="X14" s="187">
        <v>510</v>
      </c>
      <c r="Y14" s="187">
        <v>0.38</v>
      </c>
      <c r="Z14" s="187">
        <v>0</v>
      </c>
      <c r="AA14" s="187">
        <v>10</v>
      </c>
      <c r="AB14" s="187">
        <v>256</v>
      </c>
      <c r="AC14" s="364">
        <v>2.4</v>
      </c>
      <c r="AD14" s="120"/>
      <c r="AE14" s="120"/>
    </row>
    <row r="15" spans="1:43" ht="14.1" customHeight="1" x14ac:dyDescent="0.2">
      <c r="A15" s="297">
        <v>3</v>
      </c>
      <c r="B15" s="282" t="s">
        <v>526</v>
      </c>
      <c r="C15" s="345"/>
      <c r="D15" s="133">
        <f>Produksi!F10</f>
        <v>0</v>
      </c>
      <c r="E15" s="333">
        <f>Stok!L9</f>
        <v>0</v>
      </c>
      <c r="F15" s="134">
        <f>'Impor_Pangan Masuk'!F9+'ESTIMASI  Ekspor Impor'!J15</f>
        <v>0</v>
      </c>
      <c r="G15" s="134">
        <f>'Ekspor_Pangan Keluar'!F9+'ESTIMASI  Ekspor Impor'!K15</f>
        <v>0</v>
      </c>
      <c r="H15" s="134">
        <f>D15-E15+F15-G15</f>
        <v>0</v>
      </c>
      <c r="I15" s="134">
        <f>'Pemakaian Dalam Negeri REVISI'!E15</f>
        <v>0</v>
      </c>
      <c r="J15" s="346">
        <f>'Pemakaian Dalam Negeri REVISI'!F15</f>
        <v>0</v>
      </c>
      <c r="K15" s="346">
        <f>'Pemakaian Dalam Negeri REVISI'!G15</f>
        <v>0</v>
      </c>
      <c r="L15" s="346">
        <f>'Pemakaian Dalam Negeri REVISI'!H15</f>
        <v>0</v>
      </c>
      <c r="M15" s="346">
        <f>'Pemakaian Dalam Negeri REVISI'!I15</f>
        <v>0</v>
      </c>
      <c r="N15" s="346">
        <f>'Pemakaian Dalam Negeri REVISI'!J15</f>
        <v>0</v>
      </c>
      <c r="O15" s="126">
        <f>(N15+K15)/$Q$4*1000</f>
        <v>0</v>
      </c>
      <c r="P15" s="126">
        <f>O15/365*1000</f>
        <v>0</v>
      </c>
      <c r="Q15" s="122">
        <f>P15/100*T15/100*U15</f>
        <v>0</v>
      </c>
      <c r="R15" s="126">
        <f>P15/100*T15/100*V15</f>
        <v>0</v>
      </c>
      <c r="S15" s="127">
        <f>P15/100*T15/100*W15</f>
        <v>0</v>
      </c>
      <c r="T15" s="576">
        <v>75.67</v>
      </c>
      <c r="U15" s="575">
        <f>$T$15/100*147</f>
        <v>111.23490000000001</v>
      </c>
      <c r="V15" s="575">
        <f>$T$15/100*5.1</f>
        <v>3.8591699999999998</v>
      </c>
      <c r="W15" s="574">
        <f>$T$15/100*0.7</f>
        <v>0.52968999999999999</v>
      </c>
      <c r="X15" s="187">
        <v>117</v>
      </c>
      <c r="Y15" s="187">
        <v>0.18</v>
      </c>
      <c r="Z15" s="187">
        <v>9</v>
      </c>
      <c r="AA15" s="187">
        <v>5</v>
      </c>
      <c r="AB15" s="187">
        <v>108</v>
      </c>
      <c r="AC15" s="364">
        <v>1.1000000000000001</v>
      </c>
      <c r="AD15" s="120" t="s">
        <v>533</v>
      </c>
      <c r="AE15" s="120">
        <v>147</v>
      </c>
      <c r="AF15" s="60">
        <v>5.0999999999999996</v>
      </c>
      <c r="AG15" s="60">
        <v>0.7</v>
      </c>
    </row>
    <row r="16" spans="1:43" ht="14.1" customHeight="1" x14ac:dyDescent="0.2">
      <c r="A16" s="297">
        <v>4</v>
      </c>
      <c r="B16" s="282" t="s">
        <v>53</v>
      </c>
      <c r="C16" s="345"/>
      <c r="D16" s="133">
        <f>Produksi!F11</f>
        <v>0</v>
      </c>
      <c r="E16" s="333">
        <f>Stok!L10</f>
        <v>0</v>
      </c>
      <c r="F16" s="134">
        <f>'Impor_Pangan Masuk'!F10+'ESTIMASI  Ekspor Impor'!J16</f>
        <v>0</v>
      </c>
      <c r="G16" s="134">
        <f>'Ekspor_Pangan Keluar'!F10+'ESTIMASI  Ekspor Impor'!K16</f>
        <v>0</v>
      </c>
      <c r="H16" s="134">
        <f>D16-E16+F16-G16</f>
        <v>0</v>
      </c>
      <c r="I16" s="134">
        <f>'Pemakaian Dalam Negeri REVISI'!E16</f>
        <v>0</v>
      </c>
      <c r="J16" s="134">
        <f>'Pemakaian Dalam Negeri REVISI'!F16</f>
        <v>0</v>
      </c>
      <c r="K16" s="134">
        <f>'Pemakaian Dalam Negeri REVISI'!G16</f>
        <v>0</v>
      </c>
      <c r="L16" s="134">
        <f>'Pemakaian Dalam Negeri REVISI'!H16</f>
        <v>0</v>
      </c>
      <c r="M16" s="134">
        <f>'Pemakaian Dalam Negeri REVISI'!I16</f>
        <v>0</v>
      </c>
      <c r="N16" s="134">
        <f>'Pemakaian Dalam Negeri REVISI'!J16</f>
        <v>0</v>
      </c>
      <c r="O16" s="126">
        <f>(N16+K16)/$Q$4*1000</f>
        <v>0</v>
      </c>
      <c r="P16" s="126">
        <f>O16/365*1000</f>
        <v>0</v>
      </c>
      <c r="Q16" s="122">
        <f>P16/100*T16/100*U16</f>
        <v>0</v>
      </c>
      <c r="R16" s="126">
        <f>P16/100*T16/100*V16</f>
        <v>0</v>
      </c>
      <c r="S16" s="127">
        <f>P16/100*T16/100*W16</f>
        <v>0</v>
      </c>
      <c r="T16" s="576">
        <v>100</v>
      </c>
      <c r="U16" s="575">
        <v>334</v>
      </c>
      <c r="V16" s="575">
        <v>12.2</v>
      </c>
      <c r="W16" s="574">
        <v>2.2999999999999998</v>
      </c>
      <c r="X16" s="187">
        <v>0</v>
      </c>
      <c r="Y16" s="187">
        <v>0.18</v>
      </c>
      <c r="Z16" s="187">
        <v>0</v>
      </c>
      <c r="AA16" s="187">
        <v>16</v>
      </c>
      <c r="AB16" s="187">
        <v>106</v>
      </c>
      <c r="AC16" s="364">
        <v>1.2</v>
      </c>
      <c r="AD16" s="120"/>
      <c r="AE16" s="120"/>
    </row>
    <row r="17" spans="1:31" ht="14.1" customHeight="1" x14ac:dyDescent="0.2">
      <c r="A17" s="297"/>
      <c r="B17" s="282"/>
      <c r="C17" s="282"/>
      <c r="D17" s="133"/>
      <c r="E17" s="333"/>
      <c r="F17" s="134"/>
      <c r="G17" s="134"/>
      <c r="H17" s="134"/>
      <c r="I17" s="134"/>
      <c r="J17" s="334"/>
      <c r="K17" s="134"/>
      <c r="L17" s="134"/>
      <c r="M17" s="134"/>
      <c r="N17" s="134"/>
      <c r="O17" s="126"/>
      <c r="P17" s="126"/>
      <c r="Q17" s="122"/>
      <c r="R17" s="126"/>
      <c r="S17" s="127"/>
      <c r="T17" s="576"/>
      <c r="U17" s="575"/>
      <c r="V17" s="575"/>
      <c r="W17" s="574"/>
      <c r="X17" s="187"/>
      <c r="Y17" s="187"/>
      <c r="Z17" s="187"/>
      <c r="AA17" s="187"/>
      <c r="AB17" s="187"/>
      <c r="AC17" s="364"/>
      <c r="AD17" s="120"/>
      <c r="AE17" s="120"/>
    </row>
    <row r="18" spans="1:31" ht="14.1" customHeight="1" thickBot="1" x14ac:dyDescent="0.25">
      <c r="A18" s="335" t="s">
        <v>55</v>
      </c>
      <c r="B18" s="296"/>
      <c r="C18" s="282"/>
      <c r="D18" s="133"/>
      <c r="E18" s="333"/>
      <c r="F18" s="134"/>
      <c r="G18" s="134"/>
      <c r="H18" s="134"/>
      <c r="I18" s="134"/>
      <c r="J18" s="334"/>
      <c r="K18" s="134"/>
      <c r="L18" s="134"/>
      <c r="M18" s="134"/>
      <c r="N18" s="134"/>
      <c r="O18" s="126"/>
      <c r="P18" s="126"/>
      <c r="Q18" s="567">
        <f>SUM(Q19:Q22)</f>
        <v>13.318154516031345</v>
      </c>
      <c r="R18" s="340">
        <f>SUM(R19:R22)</f>
        <v>8.6481522831372379E-2</v>
      </c>
      <c r="S18" s="340">
        <f>SUM(S19:S22)</f>
        <v>2.5944456849411712E-2</v>
      </c>
      <c r="T18" s="576"/>
      <c r="U18" s="575"/>
      <c r="V18" s="575"/>
      <c r="W18" s="574"/>
      <c r="X18" s="187"/>
      <c r="Y18" s="187"/>
      <c r="Z18" s="187"/>
      <c r="AA18" s="187"/>
      <c r="AB18" s="187"/>
      <c r="AC18" s="364"/>
      <c r="AD18" s="120"/>
      <c r="AE18" s="120"/>
    </row>
    <row r="19" spans="1:31" ht="14.1" customHeight="1" x14ac:dyDescent="0.2">
      <c r="A19" s="297">
        <v>5</v>
      </c>
      <c r="B19" s="282" t="s">
        <v>56</v>
      </c>
      <c r="C19" s="45"/>
      <c r="D19" s="133">
        <f>Produksi!F16</f>
        <v>0</v>
      </c>
      <c r="E19" s="333">
        <f>Stok!L15</f>
        <v>0</v>
      </c>
      <c r="F19" s="134">
        <f>'Impor_Pangan Masuk'!F15+'ESTIMASI  Ekspor Impor'!J19</f>
        <v>0</v>
      </c>
      <c r="G19" s="134">
        <f>'Ekspor_Pangan Keluar'!F15+'ESTIMASI  Ekspor Impor'!K19</f>
        <v>0</v>
      </c>
      <c r="H19" s="134">
        <f>D19-E19+F19-G19</f>
        <v>0</v>
      </c>
      <c r="I19" s="134">
        <f>'Pemakaian Dalam Negeri REVISI'!E19</f>
        <v>0</v>
      </c>
      <c r="J19" s="134">
        <f>'Pemakaian Dalam Negeri REVISI'!F19</f>
        <v>0</v>
      </c>
      <c r="K19" s="134">
        <f>'Pemakaian Dalam Negeri REVISI'!G19</f>
        <v>0</v>
      </c>
      <c r="L19" s="134">
        <f>'Pemakaian Dalam Negeri REVISI'!H19</f>
        <v>0</v>
      </c>
      <c r="M19" s="134">
        <f>'Pemakaian Dalam Negeri REVISI'!I19</f>
        <v>0</v>
      </c>
      <c r="N19" s="134">
        <f>'Pemakaian Dalam Negeri REVISI'!J19</f>
        <v>0</v>
      </c>
      <c r="O19" s="126">
        <f>(N19+K19)/$Q$4*1000</f>
        <v>0</v>
      </c>
      <c r="P19" s="126">
        <f>O19/365*1000</f>
        <v>0</v>
      </c>
      <c r="Q19" s="568">
        <f>P19/100*T19/100*U19</f>
        <v>0</v>
      </c>
      <c r="R19" s="177">
        <f>P19/100*T19/100*V19</f>
        <v>0</v>
      </c>
      <c r="S19" s="178">
        <f>P19/100*T19/100*W19</f>
        <v>0</v>
      </c>
      <c r="T19" s="576">
        <v>85</v>
      </c>
      <c r="U19" s="575">
        <v>109.8</v>
      </c>
      <c r="V19" s="575">
        <v>0.9</v>
      </c>
      <c r="W19" s="574">
        <v>0.34</v>
      </c>
      <c r="X19" s="187"/>
      <c r="Y19" s="187">
        <v>0.09</v>
      </c>
      <c r="Z19" s="187">
        <v>22</v>
      </c>
      <c r="AA19" s="187">
        <v>30</v>
      </c>
      <c r="AB19" s="187">
        <v>49</v>
      </c>
      <c r="AC19" s="364">
        <v>0.7</v>
      </c>
      <c r="AD19" s="120" t="s">
        <v>533</v>
      </c>
      <c r="AE19" s="120"/>
    </row>
    <row r="20" spans="1:31" ht="14.1" customHeight="1" x14ac:dyDescent="0.2">
      <c r="A20" s="297">
        <v>6</v>
      </c>
      <c r="B20" s="282" t="s">
        <v>57</v>
      </c>
      <c r="C20" s="45"/>
      <c r="D20" s="133">
        <f>Produksi!F17</f>
        <v>163</v>
      </c>
      <c r="E20" s="333">
        <f>Stok!L16</f>
        <v>0</v>
      </c>
      <c r="F20" s="134">
        <f>'Impor_Pangan Masuk'!F16+'ESTIMASI  Ekspor Impor'!J20</f>
        <v>819.58214417734735</v>
      </c>
      <c r="G20" s="134">
        <f>'Ekspor_Pangan Keluar'!F16+'ESTIMASI  Ekspor Impor'!K20</f>
        <v>0</v>
      </c>
      <c r="H20" s="134">
        <f>D20-E20+F20-G20</f>
        <v>982.58214417734735</v>
      </c>
      <c r="I20" s="134">
        <f>'Pemakaian Dalam Negeri REVISI'!E20</f>
        <v>19.651642883546948</v>
      </c>
      <c r="J20" s="134">
        <f>'Pemakaian Dalam Negeri REVISI'!F20</f>
        <v>0</v>
      </c>
      <c r="K20" s="134">
        <f>'Pemakaian Dalam Negeri REVISI'!G20</f>
        <v>0</v>
      </c>
      <c r="L20" s="134">
        <f>'Pemakaian Dalam Negeri REVISI'!H20</f>
        <v>41.563224698701788</v>
      </c>
      <c r="M20" s="134">
        <f>'Pemakaian Dalam Negeri REVISI'!I20</f>
        <v>0</v>
      </c>
      <c r="N20" s="134">
        <f>'Pemakaian Dalam Negeri REVISI'!J20</f>
        <v>921.36727659509859</v>
      </c>
      <c r="O20" s="126">
        <f>(N20+K20)/$Q$4*1000</f>
        <v>3.7136183333471662</v>
      </c>
      <c r="P20" s="126">
        <f>O20/365*1000</f>
        <v>10.174296803690867</v>
      </c>
      <c r="Q20" s="122">
        <f>P20/100*T20/100*U20</f>
        <v>13.318154516031345</v>
      </c>
      <c r="R20" s="126">
        <f>P20/100*T20/100*V20</f>
        <v>8.6481522831372379E-2</v>
      </c>
      <c r="S20" s="127">
        <f>P20/100*T20/100*W20</f>
        <v>2.5944456849411712E-2</v>
      </c>
      <c r="T20" s="576">
        <v>85</v>
      </c>
      <c r="U20" s="575">
        <v>154</v>
      </c>
      <c r="V20" s="575">
        <v>1</v>
      </c>
      <c r="W20" s="574">
        <v>0.3</v>
      </c>
      <c r="X20" s="187">
        <v>0</v>
      </c>
      <c r="Y20" s="187">
        <v>0.06</v>
      </c>
      <c r="Z20" s="187">
        <v>30</v>
      </c>
      <c r="AA20" s="187">
        <v>33</v>
      </c>
      <c r="AB20" s="187">
        <v>40</v>
      </c>
      <c r="AC20" s="364">
        <v>0.7</v>
      </c>
      <c r="AD20" s="120"/>
      <c r="AE20" s="120"/>
    </row>
    <row r="21" spans="1:31" ht="14.1" customHeight="1" x14ac:dyDescent="0.2">
      <c r="A21" s="297">
        <v>7</v>
      </c>
      <c r="B21" s="282" t="s">
        <v>372</v>
      </c>
      <c r="C21" s="282"/>
      <c r="D21" s="133">
        <f>Produksi!F21</f>
        <v>0</v>
      </c>
      <c r="E21" s="333">
        <f>Stok!L20</f>
        <v>0</v>
      </c>
      <c r="F21" s="134">
        <f>'Impor_Pangan Masuk'!F20+'ESTIMASI  Ekspor Impor'!J21</f>
        <v>0</v>
      </c>
      <c r="G21" s="134">
        <f>'Ekspor_Pangan Keluar'!F20+'ESTIMASI  Ekspor Impor'!K21</f>
        <v>0</v>
      </c>
      <c r="H21" s="134">
        <f>D21-E21+F21-G21</f>
        <v>0</v>
      </c>
      <c r="I21" s="134">
        <f>'Pemakaian Dalam Negeri REVISI'!E21</f>
        <v>0</v>
      </c>
      <c r="J21" s="134">
        <f>'Pemakaian Dalam Negeri REVISI'!F21</f>
        <v>0</v>
      </c>
      <c r="K21" s="134">
        <f>'Pemakaian Dalam Negeri REVISI'!G21</f>
        <v>0</v>
      </c>
      <c r="L21" s="134">
        <f>'Pemakaian Dalam Negeri REVISI'!H21</f>
        <v>0</v>
      </c>
      <c r="M21" s="134">
        <f>'Pemakaian Dalam Negeri REVISI'!I21</f>
        <v>0</v>
      </c>
      <c r="N21" s="134">
        <f>'Pemakaian Dalam Negeri REVISI'!J21</f>
        <v>0</v>
      </c>
      <c r="O21" s="126">
        <f>(N21+K21)/$Q$4*1000</f>
        <v>0</v>
      </c>
      <c r="P21" s="126">
        <f>O21/365*1000</f>
        <v>0</v>
      </c>
      <c r="Q21" s="122">
        <f>P21/100*T21/100*U21</f>
        <v>0</v>
      </c>
      <c r="R21" s="126">
        <f>P21/100*T21/100*V21</f>
        <v>0</v>
      </c>
      <c r="S21" s="127">
        <f>P21/100*T21/100*W21</f>
        <v>0</v>
      </c>
      <c r="T21" s="576">
        <v>100</v>
      </c>
      <c r="U21" s="575">
        <v>231</v>
      </c>
      <c r="V21" s="575">
        <v>0.6</v>
      </c>
      <c r="W21" s="574">
        <v>0.2</v>
      </c>
      <c r="X21" s="365">
        <v>0</v>
      </c>
      <c r="Y21" s="365">
        <v>0.01</v>
      </c>
      <c r="Z21" s="365">
        <v>0</v>
      </c>
      <c r="AA21" s="365">
        <v>11</v>
      </c>
      <c r="AB21" s="365">
        <v>13</v>
      </c>
      <c r="AC21" s="366">
        <v>1.2</v>
      </c>
      <c r="AD21" s="120" t="s">
        <v>533</v>
      </c>
      <c r="AE21" s="120"/>
    </row>
    <row r="22" spans="1:31" ht="14.1" customHeight="1" x14ac:dyDescent="0.2">
      <c r="A22" s="297">
        <v>8</v>
      </c>
      <c r="B22" s="282" t="s">
        <v>368</v>
      </c>
      <c r="C22" s="45"/>
      <c r="D22" s="133">
        <f>Produksi!F24</f>
        <v>0</v>
      </c>
      <c r="E22" s="333">
        <f>Stok!L23</f>
        <v>0</v>
      </c>
      <c r="F22" s="134">
        <f>'Impor_Pangan Masuk'!F23+'ESTIMASI  Ekspor Impor'!J22</f>
        <v>0</v>
      </c>
      <c r="G22" s="134">
        <f>'Ekspor_Pangan Keluar'!F23+'ESTIMASI  Ekspor Impor'!K22</f>
        <v>0</v>
      </c>
      <c r="H22" s="134">
        <f>D22-E22+F22-G22</f>
        <v>0</v>
      </c>
      <c r="I22" s="134">
        <f>'Pemakaian Dalam Negeri REVISI'!E22</f>
        <v>0</v>
      </c>
      <c r="J22" s="134">
        <f>'Pemakaian Dalam Negeri REVISI'!F22</f>
        <v>0</v>
      </c>
      <c r="K22" s="134">
        <f>'Pemakaian Dalam Negeri REVISI'!G22</f>
        <v>0</v>
      </c>
      <c r="L22" s="134">
        <f>'Pemakaian Dalam Negeri REVISI'!H22</f>
        <v>0</v>
      </c>
      <c r="M22" s="134">
        <f>'Pemakaian Dalam Negeri REVISI'!I22</f>
        <v>0</v>
      </c>
      <c r="N22" s="134">
        <f>'Pemakaian Dalam Negeri REVISI'!J22</f>
        <v>0</v>
      </c>
      <c r="O22" s="126">
        <f>(N22+K22)/$Q$4*1000</f>
        <v>0</v>
      </c>
      <c r="P22" s="126">
        <f>O22/365*1000</f>
        <v>0</v>
      </c>
      <c r="Q22" s="122">
        <f>P22/100*T22/100*U22</f>
        <v>0</v>
      </c>
      <c r="R22" s="126">
        <f>P22/100*T22/100*V22</f>
        <v>0</v>
      </c>
      <c r="S22" s="127">
        <f>P22/100*T22/100*W22</f>
        <v>0</v>
      </c>
      <c r="T22" s="576">
        <v>85</v>
      </c>
      <c r="U22" s="575">
        <v>108</v>
      </c>
      <c r="V22" s="575">
        <v>1.4</v>
      </c>
      <c r="W22" s="574">
        <v>0.4</v>
      </c>
      <c r="X22" s="187"/>
      <c r="Y22" s="187"/>
      <c r="Z22" s="187"/>
      <c r="AA22" s="187"/>
      <c r="AB22" s="187"/>
      <c r="AC22" s="364"/>
      <c r="AD22" s="120" t="s">
        <v>534</v>
      </c>
      <c r="AE22" s="120"/>
    </row>
    <row r="23" spans="1:31" ht="14.1" customHeight="1" x14ac:dyDescent="0.2">
      <c r="A23" s="297"/>
      <c r="B23" s="282"/>
      <c r="C23" s="282"/>
      <c r="D23" s="133"/>
      <c r="E23" s="333"/>
      <c r="F23" s="134"/>
      <c r="G23" s="134"/>
      <c r="H23" s="134"/>
      <c r="I23" s="134"/>
      <c r="J23" s="334"/>
      <c r="K23" s="134"/>
      <c r="L23" s="134"/>
      <c r="M23" s="134"/>
      <c r="N23" s="134"/>
      <c r="O23" s="126"/>
      <c r="P23" s="126"/>
      <c r="Q23" s="122"/>
      <c r="R23" s="126"/>
      <c r="S23" s="127"/>
      <c r="T23" s="576"/>
      <c r="U23" s="575"/>
      <c r="V23" s="575"/>
      <c r="W23" s="574"/>
      <c r="X23" s="187"/>
      <c r="Y23" s="187"/>
      <c r="Z23" s="187"/>
      <c r="AA23" s="187"/>
      <c r="AB23" s="187"/>
      <c r="AC23" s="364"/>
      <c r="AD23" s="120"/>
      <c r="AE23" s="120"/>
    </row>
    <row r="24" spans="1:31" ht="14.1" customHeight="1" thickBot="1" x14ac:dyDescent="0.25">
      <c r="A24" s="336" t="s">
        <v>59</v>
      </c>
      <c r="B24" s="282"/>
      <c r="C24" s="282"/>
      <c r="D24" s="133"/>
      <c r="E24" s="333"/>
      <c r="F24" s="134"/>
      <c r="G24" s="134"/>
      <c r="H24" s="134"/>
      <c r="I24" s="134"/>
      <c r="J24" s="334"/>
      <c r="K24" s="134"/>
      <c r="L24" s="134"/>
      <c r="M24" s="134"/>
      <c r="N24" s="134"/>
      <c r="O24" s="126"/>
      <c r="P24" s="126"/>
      <c r="Q24" s="567">
        <f>SUM(Q25:Q26)</f>
        <v>112.11010238981341</v>
      </c>
      <c r="R24" s="340">
        <f>SUM(R25:R26)</f>
        <v>0</v>
      </c>
      <c r="S24" s="340">
        <f>SUM(S25:S26)</f>
        <v>0</v>
      </c>
      <c r="T24" s="576"/>
      <c r="U24" s="575"/>
      <c r="V24" s="575"/>
      <c r="W24" s="574"/>
      <c r="X24" s="187"/>
      <c r="Y24" s="187"/>
      <c r="Z24" s="187"/>
      <c r="AA24" s="187"/>
      <c r="AB24" s="187"/>
      <c r="AC24" s="364"/>
      <c r="AD24" s="120"/>
      <c r="AE24" s="120"/>
    </row>
    <row r="25" spans="1:31" ht="14.1" customHeight="1" x14ac:dyDescent="0.2">
      <c r="A25" s="297">
        <v>9</v>
      </c>
      <c r="B25" s="282" t="s">
        <v>527</v>
      </c>
      <c r="C25" s="45"/>
      <c r="D25" s="133">
        <f>Produksi!F27</f>
        <v>0</v>
      </c>
      <c r="E25" s="333">
        <f>Stok!L26</f>
        <v>0</v>
      </c>
      <c r="F25" s="134">
        <f>'Impor_Pangan Masuk'!F26+'ESTIMASI  Ekspor Impor'!J25</f>
        <v>2909</v>
      </c>
      <c r="G25" s="134">
        <f>'Ekspor_Pangan Keluar'!F26+'ESTIMASI  Ekspor Impor'!K25</f>
        <v>0</v>
      </c>
      <c r="H25" s="134">
        <f>D25-E25+F25-G25</f>
        <v>2909</v>
      </c>
      <c r="I25" s="134">
        <f>'Pemakaian Dalam Negeri REVISI'!E25</f>
        <v>0</v>
      </c>
      <c r="J25" s="134">
        <f>'Pemakaian Dalam Negeri REVISI'!F25</f>
        <v>0</v>
      </c>
      <c r="K25" s="134">
        <f>'Pemakaian Dalam Negeri REVISI'!G25</f>
        <v>0</v>
      </c>
      <c r="L25" s="134">
        <f>'Pemakaian Dalam Negeri REVISI'!H25</f>
        <v>119.85080000000001</v>
      </c>
      <c r="M25" s="134">
        <f>'Pemakaian Dalam Negeri REVISI'!I25</f>
        <v>0</v>
      </c>
      <c r="N25" s="134">
        <f>'Pemakaian Dalam Negeri REVISI'!J25</f>
        <v>2789.1491999999998</v>
      </c>
      <c r="O25" s="126">
        <f>(N25+K25)/$Q$4*1000</f>
        <v>11.24180971765986</v>
      </c>
      <c r="P25" s="126">
        <f>O25/365*1000</f>
        <v>30.799478678520167</v>
      </c>
      <c r="Q25" s="568">
        <f>P25/100*T25/100*U25</f>
        <v>112.11010238981341</v>
      </c>
      <c r="R25" s="177">
        <f>P25/100*T25/100*V25</f>
        <v>0</v>
      </c>
      <c r="S25" s="178">
        <f>P25/100*T25/100*W25</f>
        <v>0</v>
      </c>
      <c r="T25" s="576">
        <v>100</v>
      </c>
      <c r="U25" s="575">
        <v>364</v>
      </c>
      <c r="V25" s="575">
        <v>0</v>
      </c>
      <c r="W25" s="574">
        <v>0</v>
      </c>
      <c r="X25" s="187">
        <v>0</v>
      </c>
      <c r="Y25" s="187">
        <v>0</v>
      </c>
      <c r="Z25" s="187">
        <v>0</v>
      </c>
      <c r="AA25" s="187">
        <v>5</v>
      </c>
      <c r="AB25" s="187">
        <v>1</v>
      </c>
      <c r="AC25" s="364">
        <v>0.1</v>
      </c>
      <c r="AD25" s="120"/>
      <c r="AE25" s="120"/>
    </row>
    <row r="26" spans="1:31" ht="14.1" customHeight="1" x14ac:dyDescent="0.2">
      <c r="A26" s="297">
        <v>10</v>
      </c>
      <c r="B26" s="282" t="s">
        <v>524</v>
      </c>
      <c r="C26" s="45"/>
      <c r="D26" s="133">
        <f>Produksi!F30</f>
        <v>0</v>
      </c>
      <c r="E26" s="333">
        <f>'Impor_Pangan Masuk'!F29</f>
        <v>0</v>
      </c>
      <c r="F26" s="134">
        <f>'Impor_Pangan Masuk'!F29+'ESTIMASI  Ekspor Impor'!J26</f>
        <v>0</v>
      </c>
      <c r="G26" s="134">
        <f>'Ekspor_Pangan Keluar'!F29+'ESTIMASI  Ekspor Impor'!K26</f>
        <v>0</v>
      </c>
      <c r="H26" s="134">
        <f>D26-E26+F26-G26</f>
        <v>0</v>
      </c>
      <c r="I26" s="134">
        <f>'Pemakaian Dalam Negeri REVISI'!E26</f>
        <v>0</v>
      </c>
      <c r="J26" s="134">
        <f>'Pemakaian Dalam Negeri REVISI'!F26</f>
        <v>0</v>
      </c>
      <c r="K26" s="134">
        <f>'Pemakaian Dalam Negeri REVISI'!G26</f>
        <v>0</v>
      </c>
      <c r="L26" s="134">
        <f>'Pemakaian Dalam Negeri REVISI'!H26</f>
        <v>0</v>
      </c>
      <c r="M26" s="134">
        <f>'Pemakaian Dalam Negeri REVISI'!I26</f>
        <v>0</v>
      </c>
      <c r="N26" s="134">
        <f>'Pemakaian Dalam Negeri REVISI'!J26</f>
        <v>0</v>
      </c>
      <c r="O26" s="126">
        <f>(N26+K26)/$Q$4*1000</f>
        <v>0</v>
      </c>
      <c r="P26" s="126">
        <f>O26/365*1000</f>
        <v>0</v>
      </c>
      <c r="Q26" s="122">
        <f>P26/100*T26/100*U26</f>
        <v>0</v>
      </c>
      <c r="R26" s="126">
        <f>P26/100*T26/100*V26</f>
        <v>0</v>
      </c>
      <c r="S26" s="127">
        <f>P26/100*T26/100*W26</f>
        <v>0</v>
      </c>
      <c r="T26" s="576">
        <v>100</v>
      </c>
      <c r="U26" s="575">
        <v>377</v>
      </c>
      <c r="V26" s="575">
        <v>3</v>
      </c>
      <c r="W26" s="574">
        <v>10</v>
      </c>
      <c r="X26" s="187">
        <v>0</v>
      </c>
      <c r="Y26" s="187">
        <v>7.0000000000000001E-3</v>
      </c>
      <c r="Z26" s="187">
        <v>0</v>
      </c>
      <c r="AA26" s="187">
        <v>67</v>
      </c>
      <c r="AB26" s="187">
        <v>39</v>
      </c>
      <c r="AC26" s="364">
        <v>3.3</v>
      </c>
      <c r="AD26" s="120"/>
      <c r="AE26" s="120"/>
    </row>
    <row r="27" spans="1:31" ht="14.1" customHeight="1" x14ac:dyDescent="0.2">
      <c r="A27" s="297"/>
      <c r="B27" s="282"/>
      <c r="C27" s="282"/>
      <c r="D27" s="133"/>
      <c r="E27" s="333"/>
      <c r="F27" s="134"/>
      <c r="G27" s="134"/>
      <c r="H27" s="134"/>
      <c r="I27" s="134"/>
      <c r="J27" s="334"/>
      <c r="K27" s="134"/>
      <c r="L27" s="134"/>
      <c r="M27" s="134"/>
      <c r="N27" s="134"/>
      <c r="O27" s="126"/>
      <c r="P27" s="126"/>
      <c r="Q27" s="122"/>
      <c r="R27" s="126"/>
      <c r="S27" s="127"/>
      <c r="T27" s="576"/>
      <c r="U27" s="575"/>
      <c r="V27" s="575"/>
      <c r="W27" s="574"/>
      <c r="X27" s="187"/>
      <c r="Y27" s="187"/>
      <c r="Z27" s="187"/>
      <c r="AA27" s="187"/>
      <c r="AB27" s="187"/>
      <c r="AC27" s="364"/>
      <c r="AD27" s="120"/>
      <c r="AE27" s="120"/>
    </row>
    <row r="28" spans="1:31" ht="14.1" customHeight="1" x14ac:dyDescent="0.2">
      <c r="A28" s="336" t="s">
        <v>2</v>
      </c>
      <c r="B28" s="282"/>
      <c r="C28" s="288"/>
      <c r="D28" s="133"/>
      <c r="E28" s="333"/>
      <c r="F28" s="134"/>
      <c r="G28" s="134"/>
      <c r="H28" s="134"/>
      <c r="I28" s="134"/>
      <c r="J28" s="334"/>
      <c r="K28" s="134"/>
      <c r="L28" s="134"/>
      <c r="M28" s="134"/>
      <c r="N28" s="134"/>
      <c r="O28" s="126"/>
      <c r="P28" s="126"/>
      <c r="Q28" s="122"/>
      <c r="R28" s="126"/>
      <c r="S28" s="127"/>
      <c r="T28" s="576"/>
      <c r="U28" s="575"/>
      <c r="V28" s="575"/>
      <c r="W28" s="574"/>
      <c r="X28" s="187"/>
      <c r="Y28" s="187"/>
      <c r="Z28" s="187"/>
      <c r="AA28" s="187"/>
      <c r="AB28" s="187"/>
      <c r="AC28" s="364"/>
      <c r="AD28" s="120"/>
      <c r="AE28" s="120"/>
    </row>
    <row r="29" spans="1:31" ht="14.1" customHeight="1" thickBot="1" x14ac:dyDescent="0.25">
      <c r="A29" s="336"/>
      <c r="B29" s="292" t="s">
        <v>3</v>
      </c>
      <c r="C29" s="292"/>
      <c r="D29" s="133"/>
      <c r="E29" s="333"/>
      <c r="F29" s="134"/>
      <c r="G29" s="134"/>
      <c r="H29" s="134"/>
      <c r="I29" s="134"/>
      <c r="J29" s="334"/>
      <c r="K29" s="134"/>
      <c r="L29" s="134"/>
      <c r="M29" s="134"/>
      <c r="N29" s="134"/>
      <c r="O29" s="126"/>
      <c r="P29" s="126"/>
      <c r="Q29" s="567">
        <f>SUM(Q30:Q33)</f>
        <v>67.687084737046533</v>
      </c>
      <c r="R29" s="340">
        <f>SUM(R30:R33)</f>
        <v>7.1540803103855986</v>
      </c>
      <c r="S29" s="340">
        <f>SUM(S30:S33)</f>
        <v>2.9817919096008012</v>
      </c>
      <c r="T29" s="576"/>
      <c r="U29" s="575"/>
      <c r="V29" s="575"/>
      <c r="W29" s="574"/>
      <c r="X29" s="187"/>
      <c r="Y29" s="187"/>
      <c r="Z29" s="187"/>
      <c r="AA29" s="187"/>
      <c r="AB29" s="187"/>
      <c r="AC29" s="364"/>
      <c r="AD29" s="120"/>
      <c r="AE29" s="120"/>
    </row>
    <row r="30" spans="1:31" ht="14.1" customHeight="1" x14ac:dyDescent="0.2">
      <c r="A30" s="297">
        <v>11</v>
      </c>
      <c r="B30" s="282" t="s">
        <v>531</v>
      </c>
      <c r="C30" s="45"/>
      <c r="D30" s="133">
        <f>Produksi!F34</f>
        <v>8.16</v>
      </c>
      <c r="E30" s="333">
        <f>Stok!L33</f>
        <v>0</v>
      </c>
      <c r="F30" s="134">
        <f>'Impor_Pangan Masuk'!F33+'ESTIMASI  Ekspor Impor'!J30</f>
        <v>0</v>
      </c>
      <c r="G30" s="134">
        <f>'Ekspor_Pangan Keluar'!F33+'ESTIMASI  Ekspor Impor'!K30</f>
        <v>0</v>
      </c>
      <c r="H30" s="134">
        <f t="shared" ref="H30:H75" si="0">D30-E30+F30-G30</f>
        <v>8.16</v>
      </c>
      <c r="I30" s="134">
        <f>'Pemakaian Dalam Negeri REVISI'!E30</f>
        <v>0.89760000000000006</v>
      </c>
      <c r="J30" s="134">
        <f>'Pemakaian Dalam Negeri REVISI'!F30</f>
        <v>0</v>
      </c>
      <c r="K30" s="134">
        <f>'Pemakaian Dalam Negeri REVISI'!G30</f>
        <v>0.73929600000000006</v>
      </c>
      <c r="L30" s="134">
        <f>'Pemakaian Dalam Negeri REVISI'!H30</f>
        <v>0.249696</v>
      </c>
      <c r="M30" s="134">
        <f>'Pemakaian Dalam Negeri REVISI'!I30</f>
        <v>0</v>
      </c>
      <c r="N30" s="134">
        <f>'Pemakaian Dalam Negeri REVISI'!J30</f>
        <v>6.2734079999999999</v>
      </c>
      <c r="O30" s="126">
        <f>(N30+K30)/$Q$4*1000</f>
        <v>2.8265065194171823E-2</v>
      </c>
      <c r="P30" s="126">
        <f>O30/365*1000</f>
        <v>7.7438534778552948E-2</v>
      </c>
      <c r="Q30" s="568">
        <f>P30/100*T30/100*U30</f>
        <v>0.42436317058647016</v>
      </c>
      <c r="R30" s="177">
        <f>P30/100*T30/100*V30</f>
        <v>2.176022827277338E-2</v>
      </c>
      <c r="S30" s="178">
        <f>P30/100*T30/100*W30</f>
        <v>3.3530885559113426E-2</v>
      </c>
      <c r="T30" s="576">
        <v>100</v>
      </c>
      <c r="U30" s="575">
        <v>548</v>
      </c>
      <c r="V30" s="575">
        <v>28.1</v>
      </c>
      <c r="W30" s="574">
        <v>43.3</v>
      </c>
      <c r="X30" s="187">
        <v>0</v>
      </c>
      <c r="Y30" s="187">
        <v>0.3</v>
      </c>
      <c r="Z30" s="187">
        <v>3</v>
      </c>
      <c r="AA30" s="187">
        <v>58</v>
      </c>
      <c r="AB30" s="187">
        <v>335</v>
      </c>
      <c r="AC30" s="364">
        <v>1.3</v>
      </c>
      <c r="AD30" s="120"/>
      <c r="AE30" s="120"/>
    </row>
    <row r="31" spans="1:31" ht="14.1" customHeight="1" x14ac:dyDescent="0.2">
      <c r="A31" s="297">
        <v>12</v>
      </c>
      <c r="B31" s="282" t="s">
        <v>64</v>
      </c>
      <c r="C31" s="296"/>
      <c r="D31" s="133">
        <f>Produksi!F35</f>
        <v>0</v>
      </c>
      <c r="E31" s="333">
        <f>Stok!L34</f>
        <v>0</v>
      </c>
      <c r="F31" s="134">
        <f>'Impor_Pangan Masuk'!F34+'ESTIMASI  Ekspor Impor'!J31</f>
        <v>1859</v>
      </c>
      <c r="G31" s="134">
        <f>'Ekspor_Pangan Keluar'!F34+'ESTIMASI  Ekspor Impor'!K31</f>
        <v>0</v>
      </c>
      <c r="H31" s="134">
        <f t="shared" si="0"/>
        <v>1859</v>
      </c>
      <c r="I31" s="134">
        <f>'Pemakaian Dalam Negeri REVISI'!E31</f>
        <v>260.26000000000005</v>
      </c>
      <c r="J31" s="134">
        <f>'Pemakaian Dalam Negeri REVISI'!F31</f>
        <v>0</v>
      </c>
      <c r="K31" s="134">
        <f>'Pemakaian Dalam Negeri REVISI'!G31</f>
        <v>0</v>
      </c>
      <c r="L31" s="134">
        <f>'Pemakaian Dalam Negeri REVISI'!H31</f>
        <v>0</v>
      </c>
      <c r="M31" s="134">
        <f>'Pemakaian Dalam Negeri REVISI'!I31</f>
        <v>0</v>
      </c>
      <c r="N31" s="134">
        <f>'Pemakaian Dalam Negeri REVISI'!J31</f>
        <v>1598.74</v>
      </c>
      <c r="O31" s="126">
        <f>(N31+K31)/$Q$4*1000</f>
        <v>6.4438040345821319</v>
      </c>
      <c r="P31" s="126">
        <f>O31/365*1000</f>
        <v>17.654257628992141</v>
      </c>
      <c r="Q31" s="122">
        <f>P31/100*T31/100*U31</f>
        <v>67.262721566460058</v>
      </c>
      <c r="R31" s="126">
        <f>P31/100*T31/100*V31</f>
        <v>7.132320082112825</v>
      </c>
      <c r="S31" s="127">
        <f>P31/100*T31/100*W31</f>
        <v>2.9482610240416878</v>
      </c>
      <c r="T31" s="576">
        <v>100</v>
      </c>
      <c r="U31" s="575">
        <v>381</v>
      </c>
      <c r="V31" s="575">
        <v>40.4</v>
      </c>
      <c r="W31" s="574">
        <v>16.7</v>
      </c>
      <c r="X31" s="187">
        <v>110</v>
      </c>
      <c r="Y31" s="187">
        <v>1.07</v>
      </c>
      <c r="Z31" s="187">
        <v>0</v>
      </c>
      <c r="AA31" s="187">
        <v>227</v>
      </c>
      <c r="AB31" s="187">
        <v>585</v>
      </c>
      <c r="AC31" s="364">
        <v>8</v>
      </c>
      <c r="AD31" s="120"/>
      <c r="AE31" s="120"/>
    </row>
    <row r="32" spans="1:31" ht="14.1" customHeight="1" x14ac:dyDescent="0.2">
      <c r="A32" s="297">
        <v>13</v>
      </c>
      <c r="B32" s="282" t="s">
        <v>65</v>
      </c>
      <c r="C32" s="45"/>
      <c r="D32" s="133">
        <f>Produksi!F36</f>
        <v>0</v>
      </c>
      <c r="E32" s="333">
        <f>Stok!L35</f>
        <v>0</v>
      </c>
      <c r="F32" s="134">
        <f>'Impor_Pangan Masuk'!F35+'ESTIMASI  Ekspor Impor'!J32</f>
        <v>0</v>
      </c>
      <c r="G32" s="134">
        <f>'Ekspor_Pangan Keluar'!F35+'ESTIMASI  Ekspor Impor'!K32</f>
        <v>0</v>
      </c>
      <c r="H32" s="134">
        <f t="shared" si="0"/>
        <v>0</v>
      </c>
      <c r="I32" s="134">
        <f>'Pemakaian Dalam Negeri REVISI'!E32</f>
        <v>0</v>
      </c>
      <c r="J32" s="134">
        <f>'Pemakaian Dalam Negeri REVISI'!F32</f>
        <v>0</v>
      </c>
      <c r="K32" s="134">
        <f>'Pemakaian Dalam Negeri REVISI'!G32</f>
        <v>0</v>
      </c>
      <c r="L32" s="134">
        <f>'Pemakaian Dalam Negeri REVISI'!H32</f>
        <v>0</v>
      </c>
      <c r="M32" s="134">
        <f>'Pemakaian Dalam Negeri REVISI'!I32</f>
        <v>0</v>
      </c>
      <c r="N32" s="134">
        <f>'Pemakaian Dalam Negeri REVISI'!J32</f>
        <v>0</v>
      </c>
      <c r="O32" s="126">
        <f>(N32+K32)/$Q$4*1000</f>
        <v>0</v>
      </c>
      <c r="P32" s="126">
        <f>O32/365*1000</f>
        <v>0</v>
      </c>
      <c r="Q32" s="122">
        <f>P32/100*T32/100*U32</f>
        <v>0</v>
      </c>
      <c r="R32" s="126">
        <f>P32/100*T32/100*V32</f>
        <v>0</v>
      </c>
      <c r="S32" s="127">
        <f>P32/100*T32/100*W32</f>
        <v>0</v>
      </c>
      <c r="T32" s="576">
        <v>100</v>
      </c>
      <c r="U32" s="575">
        <v>337.3</v>
      </c>
      <c r="V32" s="575">
        <v>20.27</v>
      </c>
      <c r="W32" s="574">
        <v>1.8</v>
      </c>
      <c r="X32" s="187">
        <v>157</v>
      </c>
      <c r="Y32" s="187">
        <v>0.64</v>
      </c>
      <c r="Z32" s="187">
        <v>6</v>
      </c>
      <c r="AA32" s="187">
        <v>125</v>
      </c>
      <c r="AB32" s="187">
        <v>320</v>
      </c>
      <c r="AC32" s="364">
        <v>6.7</v>
      </c>
      <c r="AD32" s="120"/>
      <c r="AE32" s="120"/>
    </row>
    <row r="33" spans="1:34" ht="14.1" customHeight="1" x14ac:dyDescent="0.2">
      <c r="A33" s="297">
        <v>14</v>
      </c>
      <c r="B33" s="282" t="s">
        <v>532</v>
      </c>
      <c r="C33" s="45"/>
      <c r="D33" s="133">
        <f>Produksi!F37</f>
        <v>0</v>
      </c>
      <c r="E33" s="333">
        <f>Stok!L36</f>
        <v>0</v>
      </c>
      <c r="F33" s="134">
        <f>'Impor_Pangan Masuk'!F36+'ESTIMASI  Ekspor Impor'!J33</f>
        <v>0</v>
      </c>
      <c r="G33" s="134">
        <f>'Ekspor_Pangan Keluar'!F36+'ESTIMASI  Ekspor Impor'!K33</f>
        <v>0</v>
      </c>
      <c r="H33" s="134">
        <f t="shared" si="0"/>
        <v>0</v>
      </c>
      <c r="I33" s="134">
        <f>'Pemakaian Dalam Negeri REVISI'!E33</f>
        <v>0</v>
      </c>
      <c r="J33" s="134">
        <f>'Pemakaian Dalam Negeri REVISI'!F33</f>
        <v>0</v>
      </c>
      <c r="K33" s="134">
        <f>'Pemakaian Dalam Negeri REVISI'!G33</f>
        <v>0</v>
      </c>
      <c r="L33" s="134">
        <f>'Pemakaian Dalam Negeri REVISI'!H33</f>
        <v>0</v>
      </c>
      <c r="M33" s="134">
        <f>'Pemakaian Dalam Negeri REVISI'!I33</f>
        <v>0</v>
      </c>
      <c r="N33" s="134">
        <f>'Pemakaian Dalam Negeri REVISI'!J33</f>
        <v>0</v>
      </c>
      <c r="O33" s="126">
        <f>(N33+K33)/$Q$4*1000</f>
        <v>0</v>
      </c>
      <c r="P33" s="126">
        <f>O33/365*1000</f>
        <v>0</v>
      </c>
      <c r="Q33" s="122">
        <f>P33/100*T33/100*U33</f>
        <v>0</v>
      </c>
      <c r="R33" s="126">
        <f>P33/100*T33/100*V33</f>
        <v>0</v>
      </c>
      <c r="S33" s="127">
        <f>P33/100*T33/100*W33</f>
        <v>0</v>
      </c>
      <c r="T33" s="576">
        <v>53</v>
      </c>
      <c r="U33" s="575">
        <v>359</v>
      </c>
      <c r="V33" s="575">
        <v>3.4</v>
      </c>
      <c r="W33" s="574">
        <v>34.700000000000003</v>
      </c>
      <c r="X33" s="187">
        <v>0</v>
      </c>
      <c r="Y33" s="187">
        <v>0.1</v>
      </c>
      <c r="Z33" s="187">
        <v>2</v>
      </c>
      <c r="AA33" s="187">
        <v>21</v>
      </c>
      <c r="AB33" s="187">
        <v>98</v>
      </c>
      <c r="AC33" s="364">
        <v>2</v>
      </c>
      <c r="AD33" s="120"/>
      <c r="AE33" s="120"/>
    </row>
    <row r="34" spans="1:34" ht="14.1" customHeight="1" x14ac:dyDescent="0.2">
      <c r="A34" s="297"/>
      <c r="B34" s="282"/>
      <c r="C34" s="282"/>
      <c r="D34" s="133"/>
      <c r="E34" s="333"/>
      <c r="F34" s="134"/>
      <c r="G34" s="134"/>
      <c r="H34" s="134">
        <f t="shared" si="0"/>
        <v>0</v>
      </c>
      <c r="I34" s="134"/>
      <c r="J34" s="334"/>
      <c r="K34" s="134"/>
      <c r="L34" s="134"/>
      <c r="M34" s="134"/>
      <c r="N34" s="134"/>
      <c r="O34" s="126"/>
      <c r="P34" s="126"/>
      <c r="Q34" s="122"/>
      <c r="R34" s="126"/>
      <c r="S34" s="127"/>
      <c r="T34" s="579"/>
      <c r="U34" s="578"/>
      <c r="V34" s="578"/>
      <c r="W34" s="577"/>
      <c r="X34" s="187"/>
      <c r="Y34" s="187"/>
      <c r="Z34" s="187"/>
      <c r="AA34" s="187"/>
      <c r="AB34" s="187"/>
      <c r="AC34" s="364"/>
      <c r="AD34" s="120"/>
      <c r="AE34" s="120"/>
    </row>
    <row r="35" spans="1:34" ht="14.1" customHeight="1" thickBot="1" x14ac:dyDescent="0.25">
      <c r="A35" s="336" t="s">
        <v>68</v>
      </c>
      <c r="B35" s="282"/>
      <c r="C35" s="282"/>
      <c r="D35" s="133"/>
      <c r="E35" s="333"/>
      <c r="F35" s="134"/>
      <c r="G35" s="134"/>
      <c r="H35" s="134">
        <f t="shared" si="0"/>
        <v>0</v>
      </c>
      <c r="I35" s="134"/>
      <c r="J35" s="334"/>
      <c r="K35" s="134"/>
      <c r="L35" s="134"/>
      <c r="M35" s="134"/>
      <c r="N35" s="134"/>
      <c r="O35" s="126"/>
      <c r="P35" s="126"/>
      <c r="Q35" s="567">
        <f>SUM(Q36:Q75)</f>
        <v>77.705698996641146</v>
      </c>
      <c r="R35" s="340">
        <f>SUM(R36:R75)</f>
        <v>1.1021330266155132</v>
      </c>
      <c r="S35" s="340">
        <f>SUM(S36:S75)</f>
        <v>0.72488447871953943</v>
      </c>
      <c r="T35" s="579"/>
      <c r="U35" s="578"/>
      <c r="V35" s="578"/>
      <c r="W35" s="577"/>
      <c r="X35" s="187"/>
      <c r="Y35" s="187"/>
      <c r="Z35" s="187"/>
      <c r="AA35" s="187"/>
      <c r="AB35" s="187"/>
      <c r="AC35" s="364"/>
      <c r="AD35" s="120"/>
      <c r="AE35" s="120"/>
    </row>
    <row r="36" spans="1:34" ht="14.1" customHeight="1" x14ac:dyDescent="0.2">
      <c r="A36" s="297">
        <v>15</v>
      </c>
      <c r="B36" s="293" t="s">
        <v>69</v>
      </c>
      <c r="C36" s="45"/>
      <c r="D36" s="133">
        <f>Produksi!F42</f>
        <v>85.3</v>
      </c>
      <c r="E36" s="333">
        <f>Stok!L41</f>
        <v>0</v>
      </c>
      <c r="F36" s="134">
        <f>'Impor_Pangan Masuk'!F41+'ESTIMASI  Ekspor Impor'!J36</f>
        <v>199.90131178285463</v>
      </c>
      <c r="G36" s="134">
        <f>'Ekspor_Pangan Keluar'!F41+'ESTIMASI  Ekspor Impor'!K36</f>
        <v>0</v>
      </c>
      <c r="H36" s="134">
        <f t="shared" si="0"/>
        <v>285.20131178285465</v>
      </c>
      <c r="I36" s="134">
        <f>'Pemakaian Dalam Negeri REVISI'!E36</f>
        <v>0</v>
      </c>
      <c r="J36" s="134">
        <f>'Pemakaian Dalam Negeri REVISI'!F36</f>
        <v>0</v>
      </c>
      <c r="K36" s="134">
        <f>'Pemakaian Dalam Negeri REVISI'!G36</f>
        <v>0</v>
      </c>
      <c r="L36" s="134">
        <f>'Pemakaian Dalam Negeri REVISI'!H36</f>
        <v>3.1657345607896867</v>
      </c>
      <c r="M36" s="134">
        <f>'Pemakaian Dalam Negeri REVISI'!I36</f>
        <v>0</v>
      </c>
      <c r="N36" s="134">
        <f>'Pemakaian Dalam Negeri REVISI'!J36</f>
        <v>282.03557722206494</v>
      </c>
      <c r="O36" s="126">
        <f t="shared" ref="O36:O75" si="1">(N36+K36)/$Q$4*1000</f>
        <v>1.1367589416660888</v>
      </c>
      <c r="P36" s="126">
        <f t="shared" ref="P36:P75" si="2">O36/365*1000</f>
        <v>3.1144080593591474</v>
      </c>
      <c r="Q36" s="568">
        <f t="shared" ref="Q36:Q75" si="3">P36/100*T36/100*U36</f>
        <v>1.6148205787777179</v>
      </c>
      <c r="R36" s="177">
        <f t="shared" ref="R36:R75" si="4">P36/100*T36/100*V36</f>
        <v>1.7098100245881719E-2</v>
      </c>
      <c r="S36" s="178">
        <f t="shared" ref="S36:S75" si="5">P36/100*T36/100*W36</f>
        <v>0.12348627955359019</v>
      </c>
      <c r="T36" s="576">
        <v>61</v>
      </c>
      <c r="U36" s="575">
        <v>85</v>
      </c>
      <c r="V36" s="575">
        <v>0.9</v>
      </c>
      <c r="W36" s="574">
        <v>6.5</v>
      </c>
      <c r="X36" s="187">
        <v>180</v>
      </c>
      <c r="Y36" s="187">
        <v>0.05</v>
      </c>
      <c r="Z36" s="187">
        <v>13</v>
      </c>
      <c r="AA36" s="187">
        <v>10</v>
      </c>
      <c r="AB36" s="187">
        <v>20</v>
      </c>
      <c r="AC36" s="364">
        <v>0.9</v>
      </c>
      <c r="AE36" s="351">
        <v>61</v>
      </c>
      <c r="AF36" s="351">
        <v>85</v>
      </c>
      <c r="AG36" s="351">
        <v>0.9</v>
      </c>
      <c r="AH36" s="351">
        <v>6.5</v>
      </c>
    </row>
    <row r="37" spans="1:34" ht="14.1" customHeight="1" x14ac:dyDescent="0.2">
      <c r="A37" s="297">
        <v>16</v>
      </c>
      <c r="B37" s="293" t="s">
        <v>70</v>
      </c>
      <c r="C37" s="45"/>
      <c r="D37" s="133">
        <f>Produksi!F43</f>
        <v>2</v>
      </c>
      <c r="E37" s="333">
        <f>Stok!L42</f>
        <v>0</v>
      </c>
      <c r="F37" s="134">
        <f>'Impor_Pangan Masuk'!F42+'ESTIMASI  Ekspor Impor'!J37</f>
        <v>1465.5749902376765</v>
      </c>
      <c r="G37" s="134">
        <f>'Ekspor_Pangan Keluar'!F42+'ESTIMASI  Ekspor Impor'!K37</f>
        <v>0</v>
      </c>
      <c r="H37" s="134">
        <f t="shared" si="0"/>
        <v>1467.5749902376765</v>
      </c>
      <c r="I37" s="134">
        <f>'Pemakaian Dalam Negeri REVISI'!E37</f>
        <v>0</v>
      </c>
      <c r="J37" s="134">
        <f>'Pemakaian Dalam Negeri REVISI'!F37</f>
        <v>0</v>
      </c>
      <c r="K37" s="134">
        <f>'Pemakaian Dalam Negeri REVISI'!G37</f>
        <v>0</v>
      </c>
      <c r="L37" s="134">
        <f>'Pemakaian Dalam Negeri REVISI'!H37</f>
        <v>16.290082391638212</v>
      </c>
      <c r="M37" s="134">
        <f>'Pemakaian Dalam Negeri REVISI'!I37</f>
        <v>0</v>
      </c>
      <c r="N37" s="134">
        <f>'Pemakaian Dalam Negeri REVISI'!J37</f>
        <v>1451.2849078460383</v>
      </c>
      <c r="O37" s="126">
        <f t="shared" si="1"/>
        <v>5.8494786797768619</v>
      </c>
      <c r="P37" s="126">
        <f t="shared" si="2"/>
        <v>16.025968985690032</v>
      </c>
      <c r="Q37" s="122">
        <f t="shared" si="3"/>
        <v>5.5516823612281812</v>
      </c>
      <c r="R37" s="126">
        <f t="shared" si="4"/>
        <v>5.5901143977124541E-2</v>
      </c>
      <c r="S37" s="127">
        <f t="shared" si="5"/>
        <v>5.0078108146174069E-2</v>
      </c>
      <c r="T37" s="385">
        <v>72.67</v>
      </c>
      <c r="U37" s="351">
        <v>47.67</v>
      </c>
      <c r="V37" s="351">
        <v>0.48</v>
      </c>
      <c r="W37" s="386">
        <v>0.43</v>
      </c>
      <c r="X37" s="187">
        <v>210</v>
      </c>
      <c r="Y37" s="187">
        <v>0.06</v>
      </c>
      <c r="Z37" s="187">
        <v>41</v>
      </c>
      <c r="AA37" s="187">
        <v>30</v>
      </c>
      <c r="AB37" s="187">
        <v>24</v>
      </c>
      <c r="AC37" s="364">
        <v>0.4</v>
      </c>
      <c r="AD37" s="120" t="s">
        <v>533</v>
      </c>
      <c r="AE37" s="352" t="s">
        <v>535</v>
      </c>
      <c r="AF37" s="352" t="s">
        <v>536</v>
      </c>
      <c r="AG37" s="352" t="s">
        <v>537</v>
      </c>
      <c r="AH37" s="352" t="s">
        <v>538</v>
      </c>
    </row>
    <row r="38" spans="1:34" ht="14.1" customHeight="1" x14ac:dyDescent="0.2">
      <c r="A38" s="297">
        <v>17</v>
      </c>
      <c r="B38" s="293" t="s">
        <v>71</v>
      </c>
      <c r="C38" s="45"/>
      <c r="D38" s="133">
        <f>Produksi!F44</f>
        <v>5706.2</v>
      </c>
      <c r="E38" s="333">
        <f>Stok!L43</f>
        <v>0</v>
      </c>
      <c r="F38" s="134">
        <f>'Impor_Pangan Masuk'!F43+'ESTIMASI  Ekspor Impor'!J38</f>
        <v>0</v>
      </c>
      <c r="G38" s="134">
        <f>'Ekspor_Pangan Keluar'!F43+'ESTIMASI  Ekspor Impor'!K38</f>
        <v>0</v>
      </c>
      <c r="H38" s="134">
        <f t="shared" si="0"/>
        <v>5706.2</v>
      </c>
      <c r="I38" s="134">
        <f>'Pemakaian Dalam Negeri REVISI'!E38</f>
        <v>0</v>
      </c>
      <c r="J38" s="134">
        <f>'Pemakaian Dalam Negeri REVISI'!F38</f>
        <v>0</v>
      </c>
      <c r="K38" s="134">
        <f>'Pemakaian Dalam Negeri REVISI'!G38</f>
        <v>0</v>
      </c>
      <c r="L38" s="134">
        <f>'Pemakaian Dalam Negeri REVISI'!H38</f>
        <v>63.338819999999998</v>
      </c>
      <c r="M38" s="134">
        <f>'Pemakaian Dalam Negeri REVISI'!I38</f>
        <v>0</v>
      </c>
      <c r="N38" s="134">
        <f>'Pemakaian Dalam Negeri REVISI'!J38</f>
        <v>5642.8611799999999</v>
      </c>
      <c r="O38" s="126">
        <f t="shared" si="1"/>
        <v>22.743843050321438</v>
      </c>
      <c r="P38" s="126">
        <f t="shared" si="2"/>
        <v>62.311898768003935</v>
      </c>
      <c r="Q38" s="122">
        <f t="shared" si="3"/>
        <v>25.124157583259187</v>
      </c>
      <c r="R38" s="126">
        <f t="shared" si="4"/>
        <v>0.39879615211522518</v>
      </c>
      <c r="S38" s="127">
        <f t="shared" si="5"/>
        <v>7.9759230423045044E-2</v>
      </c>
      <c r="T38" s="576">
        <v>64</v>
      </c>
      <c r="U38" s="575">
        <v>63</v>
      </c>
      <c r="V38" s="575">
        <v>1</v>
      </c>
      <c r="W38" s="574">
        <v>0.2</v>
      </c>
      <c r="X38" s="187">
        <v>0</v>
      </c>
      <c r="Y38" s="187">
        <v>0.05</v>
      </c>
      <c r="Z38" s="187">
        <v>9</v>
      </c>
      <c r="AA38" s="187">
        <v>18</v>
      </c>
      <c r="AB38" s="187">
        <v>9</v>
      </c>
      <c r="AC38" s="364">
        <v>0.9</v>
      </c>
      <c r="AE38" s="351">
        <v>64</v>
      </c>
      <c r="AF38" s="351">
        <v>63</v>
      </c>
      <c r="AG38" s="351">
        <v>1</v>
      </c>
      <c r="AH38" s="351">
        <v>0.2</v>
      </c>
    </row>
    <row r="39" spans="1:34" ht="14.1" customHeight="1" x14ac:dyDescent="0.2">
      <c r="A39" s="297">
        <v>18</v>
      </c>
      <c r="B39" s="293" t="s">
        <v>72</v>
      </c>
      <c r="C39" s="45"/>
      <c r="D39" s="133">
        <f>Produksi!F45</f>
        <v>4808.8999999999996</v>
      </c>
      <c r="E39" s="333">
        <f>Stok!L44</f>
        <v>0</v>
      </c>
      <c r="F39" s="134">
        <f>'Impor_Pangan Masuk'!F44+'ESTIMASI  Ekspor Impor'!J39</f>
        <v>4</v>
      </c>
      <c r="G39" s="134">
        <f>'Ekspor_Pangan Keluar'!F44+'ESTIMASI  Ekspor Impor'!K39</f>
        <v>0</v>
      </c>
      <c r="H39" s="134">
        <f t="shared" si="0"/>
        <v>4812.8999999999996</v>
      </c>
      <c r="I39" s="134">
        <f>'Pemakaian Dalam Negeri REVISI'!E39</f>
        <v>0</v>
      </c>
      <c r="J39" s="134">
        <f>'Pemakaian Dalam Negeri REVISI'!F39</f>
        <v>0</v>
      </c>
      <c r="K39" s="134">
        <f>'Pemakaian Dalam Negeri REVISI'!G39</f>
        <v>0</v>
      </c>
      <c r="L39" s="134">
        <f>'Pemakaian Dalam Negeri REVISI'!H39</f>
        <v>53.423189999999998</v>
      </c>
      <c r="M39" s="134">
        <f>'Pemakaian Dalam Negeri REVISI'!I39</f>
        <v>0</v>
      </c>
      <c r="N39" s="134">
        <f>'Pemakaian Dalam Negeri REVISI'!J39</f>
        <v>4759.4768099999992</v>
      </c>
      <c r="O39" s="126">
        <f t="shared" si="1"/>
        <v>19.183316781201505</v>
      </c>
      <c r="P39" s="126">
        <f t="shared" si="2"/>
        <v>52.557032277264398</v>
      </c>
      <c r="Q39" s="122">
        <f t="shared" si="3"/>
        <v>15.493813115337543</v>
      </c>
      <c r="R39" s="126">
        <f t="shared" si="4"/>
        <v>0.28906367752495415</v>
      </c>
      <c r="S39" s="127">
        <f t="shared" si="5"/>
        <v>0.34687641302994499</v>
      </c>
      <c r="T39" s="576">
        <v>22</v>
      </c>
      <c r="U39" s="575">
        <v>134</v>
      </c>
      <c r="V39" s="575">
        <v>2.5</v>
      </c>
      <c r="W39" s="574">
        <v>3</v>
      </c>
      <c r="X39" s="187">
        <v>175</v>
      </c>
      <c r="Y39" s="187">
        <v>0.1</v>
      </c>
      <c r="Z39" s="187">
        <v>53</v>
      </c>
      <c r="AA39" s="187">
        <v>7.4</v>
      </c>
      <c r="AB39" s="187">
        <v>44</v>
      </c>
      <c r="AC39" s="364">
        <v>1.3</v>
      </c>
      <c r="AE39" s="351">
        <v>22</v>
      </c>
      <c r="AF39" s="351">
        <v>149</v>
      </c>
      <c r="AG39" s="351">
        <v>2.5</v>
      </c>
      <c r="AH39" s="351">
        <v>3</v>
      </c>
    </row>
    <row r="40" spans="1:34" ht="14.1" customHeight="1" x14ac:dyDescent="0.2">
      <c r="A40" s="297">
        <v>19</v>
      </c>
      <c r="B40" s="293" t="s">
        <v>73</v>
      </c>
      <c r="C40" s="45"/>
      <c r="D40" s="133">
        <f>Produksi!F46</f>
        <v>10.199999999999999</v>
      </c>
      <c r="E40" s="333">
        <f>Stok!L45</f>
        <v>0</v>
      </c>
      <c r="F40" s="134">
        <f>'Impor_Pangan Masuk'!F45+'ESTIMASI  Ekspor Impor'!J40</f>
        <v>0</v>
      </c>
      <c r="G40" s="134">
        <f>'Ekspor_Pangan Keluar'!F45+'ESTIMASI  Ekspor Impor'!K40</f>
        <v>0</v>
      </c>
      <c r="H40" s="134">
        <f t="shared" si="0"/>
        <v>10.199999999999999</v>
      </c>
      <c r="I40" s="134">
        <f>'Pemakaian Dalam Negeri REVISI'!E40</f>
        <v>0</v>
      </c>
      <c r="J40" s="134">
        <f>'Pemakaian Dalam Negeri REVISI'!F40</f>
        <v>0</v>
      </c>
      <c r="K40" s="134">
        <f>'Pemakaian Dalam Negeri REVISI'!G40</f>
        <v>0</v>
      </c>
      <c r="L40" s="134">
        <f>'Pemakaian Dalam Negeri REVISI'!H40</f>
        <v>0.11322</v>
      </c>
      <c r="M40" s="134">
        <f>'Pemakaian Dalam Negeri REVISI'!I40</f>
        <v>0</v>
      </c>
      <c r="N40" s="134">
        <f>'Pemakaian Dalam Negeri REVISI'!J40</f>
        <v>10.086779999999999</v>
      </c>
      <c r="O40" s="126">
        <f t="shared" si="1"/>
        <v>4.0655287076036356E-2</v>
      </c>
      <c r="P40" s="126">
        <f t="shared" si="2"/>
        <v>0.11138434815352427</v>
      </c>
      <c r="Q40" s="122">
        <f t="shared" si="3"/>
        <v>4.9832661211710795E-2</v>
      </c>
      <c r="R40" s="126">
        <f t="shared" si="4"/>
        <v>1.0726312727184386E-3</v>
      </c>
      <c r="S40" s="127">
        <f t="shared" si="5"/>
        <v>3.1285078787621125E-4</v>
      </c>
      <c r="T40" s="385">
        <v>80.25</v>
      </c>
      <c r="U40" s="351">
        <v>55.75</v>
      </c>
      <c r="V40" s="351">
        <v>1.2</v>
      </c>
      <c r="W40" s="386">
        <v>0.35</v>
      </c>
      <c r="X40" s="187">
        <v>0</v>
      </c>
      <c r="Y40" s="187">
        <v>0</v>
      </c>
      <c r="Z40" s="187">
        <v>5</v>
      </c>
      <c r="AA40" s="187">
        <v>7.5</v>
      </c>
      <c r="AB40" s="187">
        <v>9</v>
      </c>
      <c r="AC40" s="364">
        <v>1.1000000000000001</v>
      </c>
      <c r="AD40" s="120" t="s">
        <v>533</v>
      </c>
      <c r="AE40" s="352" t="s">
        <v>539</v>
      </c>
      <c r="AF40" s="352" t="s">
        <v>540</v>
      </c>
      <c r="AG40" s="352">
        <v>1.2</v>
      </c>
      <c r="AH40" s="352" t="s">
        <v>541</v>
      </c>
    </row>
    <row r="41" spans="1:34" ht="14.1" customHeight="1" x14ac:dyDescent="0.2">
      <c r="A41" s="297">
        <v>20</v>
      </c>
      <c r="B41" s="293" t="s">
        <v>74</v>
      </c>
      <c r="C41" s="45"/>
      <c r="D41" s="133">
        <f>Produksi!F47</f>
        <v>8</v>
      </c>
      <c r="E41" s="333">
        <f>Stok!L46</f>
        <v>0</v>
      </c>
      <c r="F41" s="134">
        <f>'Impor_Pangan Masuk'!F46+'ESTIMASI  Ekspor Impor'!J41</f>
        <v>0</v>
      </c>
      <c r="G41" s="134">
        <f>'Ekspor_Pangan Keluar'!F46+'ESTIMASI  Ekspor Impor'!K41</f>
        <v>0</v>
      </c>
      <c r="H41" s="134">
        <f t="shared" si="0"/>
        <v>8</v>
      </c>
      <c r="I41" s="134">
        <f>'Pemakaian Dalam Negeri REVISI'!E41</f>
        <v>0</v>
      </c>
      <c r="J41" s="134">
        <f>'Pemakaian Dalam Negeri REVISI'!F41</f>
        <v>0</v>
      </c>
      <c r="K41" s="134">
        <f>'Pemakaian Dalam Negeri REVISI'!G41</f>
        <v>0</v>
      </c>
      <c r="L41" s="134">
        <f>'Pemakaian Dalam Negeri REVISI'!H41</f>
        <v>8.8800000000000004E-2</v>
      </c>
      <c r="M41" s="134">
        <f>'Pemakaian Dalam Negeri REVISI'!I41</f>
        <v>0</v>
      </c>
      <c r="N41" s="134">
        <f>'Pemakaian Dalam Negeri REVISI'!J41</f>
        <v>7.9112</v>
      </c>
      <c r="O41" s="126">
        <f t="shared" si="1"/>
        <v>3.1886499667479494E-2</v>
      </c>
      <c r="P41" s="126">
        <f t="shared" si="2"/>
        <v>8.7360273061587654E-2</v>
      </c>
      <c r="Q41" s="122">
        <f t="shared" si="3"/>
        <v>3.6167153047497284E-2</v>
      </c>
      <c r="R41" s="126">
        <f t="shared" si="4"/>
        <v>4.7174547453257326E-4</v>
      </c>
      <c r="S41" s="127">
        <f t="shared" si="5"/>
        <v>1.5724849151085775E-4</v>
      </c>
      <c r="T41" s="576">
        <v>90</v>
      </c>
      <c r="U41" s="575">
        <v>46</v>
      </c>
      <c r="V41" s="575">
        <v>0.6</v>
      </c>
      <c r="W41" s="574">
        <v>0.2</v>
      </c>
      <c r="X41" s="187"/>
      <c r="Y41" s="187"/>
      <c r="Z41" s="187"/>
      <c r="AA41" s="187"/>
      <c r="AB41" s="187"/>
      <c r="AC41" s="364"/>
      <c r="AE41" s="351">
        <v>90</v>
      </c>
      <c r="AF41" s="351">
        <v>46</v>
      </c>
      <c r="AG41" s="351">
        <v>0.6</v>
      </c>
      <c r="AH41" s="351">
        <v>0.2</v>
      </c>
    </row>
    <row r="42" spans="1:34" ht="14.1" customHeight="1" x14ac:dyDescent="0.2">
      <c r="A42" s="297">
        <v>21</v>
      </c>
      <c r="B42" s="293" t="s">
        <v>75</v>
      </c>
      <c r="C42" s="45"/>
      <c r="D42" s="133">
        <f>Produksi!F48</f>
        <v>198.3</v>
      </c>
      <c r="E42" s="333">
        <f>Stok!L47</f>
        <v>0</v>
      </c>
      <c r="F42" s="134">
        <f>'Impor_Pangan Masuk'!F47+'ESTIMASI  Ekspor Impor'!J42</f>
        <v>86.070002377843025</v>
      </c>
      <c r="G42" s="134">
        <f>'Ekspor_Pangan Keluar'!F47+'ESTIMASI  Ekspor Impor'!K42</f>
        <v>0</v>
      </c>
      <c r="H42" s="134">
        <f t="shared" si="0"/>
        <v>284.37000237784304</v>
      </c>
      <c r="I42" s="134">
        <f>'Pemakaian Dalam Negeri REVISI'!E42</f>
        <v>0</v>
      </c>
      <c r="J42" s="134">
        <f>'Pemakaian Dalam Negeri REVISI'!F42</f>
        <v>0</v>
      </c>
      <c r="K42" s="134">
        <f>'Pemakaian Dalam Negeri REVISI'!G42</f>
        <v>0</v>
      </c>
      <c r="L42" s="134">
        <f>'Pemakaian Dalam Negeri REVISI'!H42</f>
        <v>3.156507026394058</v>
      </c>
      <c r="M42" s="134">
        <f>'Pemakaian Dalam Negeri REVISI'!I42</f>
        <v>0</v>
      </c>
      <c r="N42" s="134">
        <f>'Pemakaian Dalam Negeri REVISI'!J42</f>
        <v>281.21349535144896</v>
      </c>
      <c r="O42" s="126">
        <f t="shared" si="1"/>
        <v>1.1334454982827793</v>
      </c>
      <c r="P42" s="126">
        <f t="shared" si="2"/>
        <v>3.1053301322815869</v>
      </c>
      <c r="Q42" s="122">
        <f t="shared" si="3"/>
        <v>1.3604451309525634</v>
      </c>
      <c r="R42" s="126">
        <f t="shared" si="4"/>
        <v>1.6349563146462558E-2</v>
      </c>
      <c r="S42" s="127">
        <f t="shared" si="5"/>
        <v>4.8443150063592752E-3</v>
      </c>
      <c r="T42" s="385">
        <v>65</v>
      </c>
      <c r="U42" s="351">
        <v>67.400000000000006</v>
      </c>
      <c r="V42" s="351">
        <v>0.81</v>
      </c>
      <c r="W42" s="386">
        <v>0.24</v>
      </c>
      <c r="X42" s="187">
        <v>1200</v>
      </c>
      <c r="Y42" s="187">
        <v>0.08</v>
      </c>
      <c r="Z42" s="187">
        <v>6</v>
      </c>
      <c r="AA42" s="187">
        <v>15</v>
      </c>
      <c r="AB42" s="187">
        <v>9</v>
      </c>
      <c r="AC42" s="364">
        <v>0.2</v>
      </c>
      <c r="AD42" s="120" t="s">
        <v>533</v>
      </c>
      <c r="AE42" s="352">
        <v>65</v>
      </c>
      <c r="AF42" s="352">
        <v>67.400000000000006</v>
      </c>
      <c r="AG42" s="352">
        <v>0.81</v>
      </c>
      <c r="AH42" s="352">
        <v>0.24</v>
      </c>
    </row>
    <row r="43" spans="1:34" ht="14.1" customHeight="1" x14ac:dyDescent="0.2">
      <c r="A43" s="297">
        <v>22</v>
      </c>
      <c r="B43" s="293" t="s">
        <v>76</v>
      </c>
      <c r="C43" s="45"/>
      <c r="D43" s="133">
        <f>Produksi!F49</f>
        <v>75.099999999999994</v>
      </c>
      <c r="E43" s="333">
        <f>Stok!L48</f>
        <v>0</v>
      </c>
      <c r="F43" s="134">
        <f>'Impor_Pangan Masuk'!F48+'ESTIMASI  Ekspor Impor'!J43</f>
        <v>0</v>
      </c>
      <c r="G43" s="134">
        <f>'Ekspor_Pangan Keluar'!F48+'ESTIMASI  Ekspor Impor'!K43</f>
        <v>0</v>
      </c>
      <c r="H43" s="134">
        <f t="shared" si="0"/>
        <v>75.099999999999994</v>
      </c>
      <c r="I43" s="134">
        <f>'Pemakaian Dalam Negeri REVISI'!E43</f>
        <v>0</v>
      </c>
      <c r="J43" s="134">
        <f>'Pemakaian Dalam Negeri REVISI'!F43</f>
        <v>0</v>
      </c>
      <c r="K43" s="134">
        <f>'Pemakaian Dalam Negeri REVISI'!G43</f>
        <v>0</v>
      </c>
      <c r="L43" s="134">
        <f>'Pemakaian Dalam Negeri REVISI'!H43</f>
        <v>0.83360999999999996</v>
      </c>
      <c r="M43" s="134">
        <f>'Pemakaian Dalam Negeri REVISI'!I43</f>
        <v>0</v>
      </c>
      <c r="N43" s="134">
        <f>'Pemakaian Dalam Negeri REVISI'!J43</f>
        <v>74.266390000000001</v>
      </c>
      <c r="O43" s="126">
        <f t="shared" si="1"/>
        <v>0.29933451562846375</v>
      </c>
      <c r="P43" s="126">
        <f t="shared" si="2"/>
        <v>0.82009456336565412</v>
      </c>
      <c r="Q43" s="122">
        <f t="shared" si="3"/>
        <v>0.21297855810606039</v>
      </c>
      <c r="R43" s="126">
        <f t="shared" si="4"/>
        <v>2.8252257707946787E-3</v>
      </c>
      <c r="S43" s="127">
        <f t="shared" si="5"/>
        <v>1.0866252964594919E-3</v>
      </c>
      <c r="T43" s="385">
        <v>53</v>
      </c>
      <c r="U43" s="351">
        <v>49</v>
      </c>
      <c r="V43" s="351">
        <v>0.65</v>
      </c>
      <c r="W43" s="386">
        <v>0.25</v>
      </c>
      <c r="X43" s="187">
        <v>130</v>
      </c>
      <c r="Y43" s="187">
        <v>0.08</v>
      </c>
      <c r="Z43" s="187">
        <v>24</v>
      </c>
      <c r="AA43" s="187">
        <v>16</v>
      </c>
      <c r="AB43" s="187">
        <v>11</v>
      </c>
      <c r="AC43" s="364">
        <v>0.3</v>
      </c>
      <c r="AD43" s="120" t="s">
        <v>533</v>
      </c>
      <c r="AE43" s="352">
        <v>53</v>
      </c>
      <c r="AF43" s="352">
        <v>49</v>
      </c>
      <c r="AG43" s="352">
        <v>0.65</v>
      </c>
      <c r="AH43" s="352">
        <v>0.25</v>
      </c>
    </row>
    <row r="44" spans="1:34" ht="14.1" customHeight="1" x14ac:dyDescent="0.2">
      <c r="A44" s="297">
        <v>23</v>
      </c>
      <c r="B44" s="293" t="s">
        <v>77</v>
      </c>
      <c r="C44" s="45"/>
      <c r="D44" s="133">
        <f>Produksi!F50</f>
        <v>557.79999999999995</v>
      </c>
      <c r="E44" s="333">
        <f>Stok!L49</f>
        <v>0</v>
      </c>
      <c r="F44" s="134">
        <f>'Impor_Pangan Masuk'!F49+'ESTIMASI  Ekspor Impor'!J44</f>
        <v>1162.9869798366312</v>
      </c>
      <c r="G44" s="134">
        <f>'Ekspor_Pangan Keluar'!F49+'ESTIMASI  Ekspor Impor'!K44</f>
        <v>0</v>
      </c>
      <c r="H44" s="134">
        <f t="shared" si="0"/>
        <v>1720.7869798366312</v>
      </c>
      <c r="I44" s="134">
        <f>'Pemakaian Dalam Negeri REVISI'!E44</f>
        <v>0</v>
      </c>
      <c r="J44" s="134">
        <f>'Pemakaian Dalam Negeri REVISI'!F44</f>
        <v>0</v>
      </c>
      <c r="K44" s="134">
        <f>'Pemakaian Dalam Negeri REVISI'!G44</f>
        <v>0</v>
      </c>
      <c r="L44" s="134">
        <f>'Pemakaian Dalam Negeri REVISI'!H44</f>
        <v>19.100735476186607</v>
      </c>
      <c r="M44" s="134">
        <f>'Pemakaian Dalam Negeri REVISI'!I44</f>
        <v>0</v>
      </c>
      <c r="N44" s="134">
        <f>'Pemakaian Dalam Negeri REVISI'!J44</f>
        <v>1701.6862443604446</v>
      </c>
      <c r="O44" s="126">
        <f t="shared" si="1"/>
        <v>6.8587341825454731</v>
      </c>
      <c r="P44" s="126">
        <f t="shared" si="2"/>
        <v>18.791052554919101</v>
      </c>
      <c r="Q44" s="122">
        <f t="shared" si="3"/>
        <v>4.8621848485853185</v>
      </c>
      <c r="R44" s="126">
        <f t="shared" si="4"/>
        <v>5.3554499781519445E-2</v>
      </c>
      <c r="S44" s="127">
        <f t="shared" si="5"/>
        <v>0</v>
      </c>
      <c r="T44" s="576">
        <v>75</v>
      </c>
      <c r="U44" s="575">
        <v>34.5</v>
      </c>
      <c r="V44" s="575">
        <v>0.38</v>
      </c>
      <c r="W44" s="574">
        <v>0</v>
      </c>
      <c r="X44" s="187">
        <v>365</v>
      </c>
      <c r="Y44" s="187">
        <v>0.04</v>
      </c>
      <c r="Z44" s="187">
        <v>78</v>
      </c>
      <c r="AA44" s="187">
        <v>23</v>
      </c>
      <c r="AB44" s="187">
        <v>12</v>
      </c>
      <c r="AC44" s="364">
        <v>1.7</v>
      </c>
      <c r="AE44" s="351">
        <v>75</v>
      </c>
      <c r="AF44" s="351">
        <v>46</v>
      </c>
      <c r="AG44" s="351">
        <v>0.5</v>
      </c>
      <c r="AH44" s="351">
        <v>0.1</v>
      </c>
    </row>
    <row r="45" spans="1:34" ht="14.1" customHeight="1" x14ac:dyDescent="0.2">
      <c r="A45" s="297">
        <v>24</v>
      </c>
      <c r="B45" s="293" t="s">
        <v>78</v>
      </c>
      <c r="C45" s="45"/>
      <c r="D45" s="133">
        <f>Produksi!F51</f>
        <v>488</v>
      </c>
      <c r="E45" s="333">
        <f>Stok!L50</f>
        <v>0</v>
      </c>
      <c r="F45" s="134">
        <f>'Impor_Pangan Masuk'!F50+'ESTIMASI  Ekspor Impor'!J45</f>
        <v>904.33954794552403</v>
      </c>
      <c r="G45" s="134">
        <f>'Ekspor_Pangan Keluar'!F50+'ESTIMASI  Ekspor Impor'!K45</f>
        <v>0</v>
      </c>
      <c r="H45" s="134">
        <f t="shared" si="0"/>
        <v>1392.3395479455239</v>
      </c>
      <c r="I45" s="134">
        <f>'Pemakaian Dalam Negeri REVISI'!E45</f>
        <v>0</v>
      </c>
      <c r="J45" s="134">
        <f>'Pemakaian Dalam Negeri REVISI'!F45</f>
        <v>0</v>
      </c>
      <c r="K45" s="134">
        <f>'Pemakaian Dalam Negeri REVISI'!G45</f>
        <v>0</v>
      </c>
      <c r="L45" s="134">
        <f>'Pemakaian Dalam Negeri REVISI'!H45</f>
        <v>15.454968982195316</v>
      </c>
      <c r="M45" s="134">
        <f>'Pemakaian Dalam Negeri REVISI'!I45</f>
        <v>0</v>
      </c>
      <c r="N45" s="134">
        <f>'Pemakaian Dalam Negeri REVISI'!J45</f>
        <v>1376.8845789633285</v>
      </c>
      <c r="O45" s="126">
        <f t="shared" si="1"/>
        <v>5.5496043165729372</v>
      </c>
      <c r="P45" s="126">
        <f t="shared" si="2"/>
        <v>15.204395387871061</v>
      </c>
      <c r="Q45" s="122">
        <f t="shared" si="3"/>
        <v>7.3437229723417232</v>
      </c>
      <c r="R45" s="126">
        <f t="shared" si="4"/>
        <v>7.9823075786323069E-2</v>
      </c>
      <c r="S45" s="127">
        <f t="shared" si="5"/>
        <v>2.3946922735896922E-2</v>
      </c>
      <c r="T45" s="576">
        <v>75</v>
      </c>
      <c r="U45" s="575">
        <v>64.400000000000006</v>
      </c>
      <c r="V45" s="575">
        <v>0.7</v>
      </c>
      <c r="W45" s="574">
        <v>0.21</v>
      </c>
      <c r="X45" s="187">
        <v>146</v>
      </c>
      <c r="Y45" s="187">
        <v>0.08</v>
      </c>
      <c r="Z45" s="187">
        <v>3</v>
      </c>
      <c r="AA45" s="187">
        <v>8</v>
      </c>
      <c r="AB45" s="187">
        <v>28</v>
      </c>
      <c r="AC45" s="364">
        <v>0.5</v>
      </c>
      <c r="AE45" s="351" t="s">
        <v>542</v>
      </c>
      <c r="AF45" s="351" t="s">
        <v>543</v>
      </c>
      <c r="AG45" s="351" t="s">
        <v>544</v>
      </c>
      <c r="AH45" s="351" t="s">
        <v>545</v>
      </c>
    </row>
    <row r="46" spans="1:34" ht="14.1" customHeight="1" x14ac:dyDescent="0.2">
      <c r="A46" s="297">
        <v>25</v>
      </c>
      <c r="B46" s="293" t="s">
        <v>79</v>
      </c>
      <c r="C46" s="45"/>
      <c r="D46" s="133">
        <f>Produksi!F52</f>
        <v>374</v>
      </c>
      <c r="E46" s="333">
        <f>Stok!L51</f>
        <v>0</v>
      </c>
      <c r="F46" s="134">
        <f>'Impor_Pangan Masuk'!F51+'ESTIMASI  Ekspor Impor'!J46</f>
        <v>0</v>
      </c>
      <c r="G46" s="134">
        <f>'Ekspor_Pangan Keluar'!F51+'ESTIMASI  Ekspor Impor'!K46</f>
        <v>0</v>
      </c>
      <c r="H46" s="134">
        <f t="shared" si="0"/>
        <v>374</v>
      </c>
      <c r="I46" s="134">
        <f>'Pemakaian Dalam Negeri REVISI'!E46</f>
        <v>0</v>
      </c>
      <c r="J46" s="134">
        <f>'Pemakaian Dalam Negeri REVISI'!F46</f>
        <v>0</v>
      </c>
      <c r="K46" s="134">
        <f>'Pemakaian Dalam Negeri REVISI'!G46</f>
        <v>0</v>
      </c>
      <c r="L46" s="134">
        <f>'Pemakaian Dalam Negeri REVISI'!H46</f>
        <v>4.1513999999999998</v>
      </c>
      <c r="M46" s="134">
        <f>'Pemakaian Dalam Negeri REVISI'!I46</f>
        <v>0</v>
      </c>
      <c r="N46" s="134">
        <f>'Pemakaian Dalam Negeri REVISI'!J46</f>
        <v>369.84859999999998</v>
      </c>
      <c r="O46" s="126">
        <f t="shared" si="1"/>
        <v>1.4906938594546661</v>
      </c>
      <c r="P46" s="126">
        <f t="shared" si="2"/>
        <v>4.0840927656292223</v>
      </c>
      <c r="Q46" s="122">
        <f t="shared" si="3"/>
        <v>0.45088384132546611</v>
      </c>
      <c r="R46" s="126">
        <f t="shared" si="4"/>
        <v>5.8810935825060785E-3</v>
      </c>
      <c r="S46" s="127">
        <f t="shared" si="5"/>
        <v>6.5345484250067549E-4</v>
      </c>
      <c r="T46" s="576">
        <v>40</v>
      </c>
      <c r="U46" s="575">
        <v>27.6</v>
      </c>
      <c r="V46" s="575">
        <v>0.36</v>
      </c>
      <c r="W46" s="574">
        <v>0.04</v>
      </c>
      <c r="X46" s="187">
        <v>0</v>
      </c>
      <c r="Y46" s="187">
        <v>0</v>
      </c>
      <c r="Z46" s="187">
        <v>58</v>
      </c>
      <c r="AA46" s="187">
        <v>16</v>
      </c>
      <c r="AB46" s="187">
        <v>16</v>
      </c>
      <c r="AC46" s="364">
        <v>0.5</v>
      </c>
      <c r="AE46" s="351">
        <v>40</v>
      </c>
      <c r="AF46" s="351">
        <v>69</v>
      </c>
      <c r="AG46" s="351">
        <v>0.9</v>
      </c>
      <c r="AH46" s="351">
        <v>0.1</v>
      </c>
    </row>
    <row r="47" spans="1:34" ht="14.1" customHeight="1" x14ac:dyDescent="0.2">
      <c r="A47" s="297">
        <v>26</v>
      </c>
      <c r="B47" s="293" t="s">
        <v>80</v>
      </c>
      <c r="C47" s="45"/>
      <c r="D47" s="133">
        <f>Produksi!F53</f>
        <v>48.6</v>
      </c>
      <c r="E47" s="333">
        <f>Stok!L52</f>
        <v>0</v>
      </c>
      <c r="F47" s="134">
        <f>'Impor_Pangan Masuk'!F52+'ESTIMASI  Ekspor Impor'!J47</f>
        <v>883.46330359921456</v>
      </c>
      <c r="G47" s="134">
        <f>'Ekspor_Pangan Keluar'!F52+'ESTIMASI  Ekspor Impor'!K47</f>
        <v>0</v>
      </c>
      <c r="H47" s="134">
        <f t="shared" si="0"/>
        <v>932.06330359921458</v>
      </c>
      <c r="I47" s="134">
        <f>'Pemakaian Dalam Negeri REVISI'!E47</f>
        <v>0</v>
      </c>
      <c r="J47" s="134">
        <f>'Pemakaian Dalam Negeri REVISI'!F47</f>
        <v>0</v>
      </c>
      <c r="K47" s="134">
        <f>'Pemakaian Dalam Negeri REVISI'!G47</f>
        <v>0</v>
      </c>
      <c r="L47" s="134">
        <f>'Pemakaian Dalam Negeri REVISI'!H47</f>
        <v>10.345902669951283</v>
      </c>
      <c r="M47" s="134">
        <f>'Pemakaian Dalam Negeri REVISI'!I47</f>
        <v>0</v>
      </c>
      <c r="N47" s="134">
        <f>'Pemakaian Dalam Negeri REVISI'!J47</f>
        <v>921.71740092926325</v>
      </c>
      <c r="O47" s="126">
        <f t="shared" si="1"/>
        <v>3.7150295275357741</v>
      </c>
      <c r="P47" s="126">
        <f t="shared" si="2"/>
        <v>10.178163089139106</v>
      </c>
      <c r="Q47" s="122">
        <f t="shared" si="3"/>
        <v>5.9343779891225559</v>
      </c>
      <c r="R47" s="126">
        <f t="shared" si="4"/>
        <v>4.5582903394709495E-2</v>
      </c>
      <c r="S47" s="127">
        <f t="shared" si="5"/>
        <v>1.548098605858058E-2</v>
      </c>
      <c r="T47" s="385">
        <v>84.5</v>
      </c>
      <c r="U47" s="351">
        <v>69</v>
      </c>
      <c r="V47" s="351">
        <v>0.53</v>
      </c>
      <c r="W47" s="386">
        <v>0.18</v>
      </c>
      <c r="X47" s="187">
        <v>0</v>
      </c>
      <c r="Y47" s="187">
        <v>0.04</v>
      </c>
      <c r="Z47" s="187">
        <v>2</v>
      </c>
      <c r="AA47" s="187">
        <v>28</v>
      </c>
      <c r="AB47" s="187">
        <v>18</v>
      </c>
      <c r="AC47" s="364">
        <v>4.2</v>
      </c>
      <c r="AD47" s="120" t="s">
        <v>533</v>
      </c>
      <c r="AE47" s="352">
        <v>84.5</v>
      </c>
      <c r="AF47" s="352">
        <v>69</v>
      </c>
      <c r="AG47" s="352">
        <v>0.53</v>
      </c>
      <c r="AH47" s="352">
        <v>0.18</v>
      </c>
    </row>
    <row r="48" spans="1:34" ht="14.1" customHeight="1" x14ac:dyDescent="0.2">
      <c r="A48" s="297">
        <v>27</v>
      </c>
      <c r="B48" s="293" t="s">
        <v>81</v>
      </c>
      <c r="C48" s="45"/>
      <c r="D48" s="133">
        <f>Produksi!F54</f>
        <v>10.6</v>
      </c>
      <c r="E48" s="333">
        <f>Stok!L53</f>
        <v>0</v>
      </c>
      <c r="F48" s="134">
        <f>'Impor_Pangan Masuk'!F53+'ESTIMASI  Ekspor Impor'!J48</f>
        <v>0</v>
      </c>
      <c r="G48" s="134">
        <f>'Ekspor_Pangan Keluar'!F53+'ESTIMASI  Ekspor Impor'!K48</f>
        <v>0</v>
      </c>
      <c r="H48" s="134">
        <f t="shared" si="0"/>
        <v>10.6</v>
      </c>
      <c r="I48" s="134">
        <f>'Pemakaian Dalam Negeri REVISI'!E48</f>
        <v>0</v>
      </c>
      <c r="J48" s="134">
        <f>'Pemakaian Dalam Negeri REVISI'!F48</f>
        <v>0</v>
      </c>
      <c r="K48" s="134">
        <f>'Pemakaian Dalam Negeri REVISI'!G48</f>
        <v>0</v>
      </c>
      <c r="L48" s="134">
        <f>'Pemakaian Dalam Negeri REVISI'!H48</f>
        <v>0.11766</v>
      </c>
      <c r="M48" s="134">
        <f>'Pemakaian Dalam Negeri REVISI'!I48</f>
        <v>0</v>
      </c>
      <c r="N48" s="134">
        <f>'Pemakaian Dalam Negeri REVISI'!J48</f>
        <v>10.482339999999999</v>
      </c>
      <c r="O48" s="126">
        <f t="shared" si="1"/>
        <v>4.2249612059410323E-2</v>
      </c>
      <c r="P48" s="126">
        <f t="shared" si="2"/>
        <v>0.11575236180660363</v>
      </c>
      <c r="Q48" s="122">
        <f t="shared" si="3"/>
        <v>7.7604666192533908E-2</v>
      </c>
      <c r="R48" s="126">
        <f t="shared" si="4"/>
        <v>6.9757003319131613E-4</v>
      </c>
      <c r="S48" s="127">
        <f t="shared" si="5"/>
        <v>1.8921587150314448E-3</v>
      </c>
      <c r="T48" s="385">
        <v>75.33</v>
      </c>
      <c r="U48" s="351">
        <v>89</v>
      </c>
      <c r="V48" s="351">
        <v>0.8</v>
      </c>
      <c r="W48" s="386">
        <v>2.17</v>
      </c>
      <c r="X48" s="187">
        <v>60</v>
      </c>
      <c r="Y48" s="187">
        <v>0.01</v>
      </c>
      <c r="Z48" s="187">
        <v>21</v>
      </c>
      <c r="AA48" s="187">
        <v>25</v>
      </c>
      <c r="AB48" s="187">
        <v>12</v>
      </c>
      <c r="AC48" s="364">
        <v>1</v>
      </c>
      <c r="AD48" s="120" t="s">
        <v>533</v>
      </c>
      <c r="AE48" s="352" t="s">
        <v>546</v>
      </c>
      <c r="AF48" s="352" t="s">
        <v>547</v>
      </c>
      <c r="AG48" s="352" t="s">
        <v>548</v>
      </c>
      <c r="AH48" s="352" t="s">
        <v>549</v>
      </c>
    </row>
    <row r="49" spans="1:34" ht="14.1" customHeight="1" x14ac:dyDescent="0.2">
      <c r="A49" s="297">
        <v>28</v>
      </c>
      <c r="B49" s="293" t="s">
        <v>4</v>
      </c>
      <c r="C49" s="45"/>
      <c r="D49" s="133">
        <f>Produksi!F55</f>
        <v>88.4</v>
      </c>
      <c r="E49" s="333">
        <f>Stok!L54</f>
        <v>0</v>
      </c>
      <c r="F49" s="134">
        <f>'Impor_Pangan Masuk'!F54+'ESTIMASI  Ekspor Impor'!J49</f>
        <v>0</v>
      </c>
      <c r="G49" s="134">
        <f>'Ekspor_Pangan Keluar'!F54+'ESTIMASI  Ekspor Impor'!K49</f>
        <v>0</v>
      </c>
      <c r="H49" s="134">
        <f t="shared" si="0"/>
        <v>88.4</v>
      </c>
      <c r="I49" s="134">
        <f>'Pemakaian Dalam Negeri REVISI'!E49</f>
        <v>0</v>
      </c>
      <c r="J49" s="134">
        <f>'Pemakaian Dalam Negeri REVISI'!F49</f>
        <v>0</v>
      </c>
      <c r="K49" s="134">
        <f>'Pemakaian Dalam Negeri REVISI'!G49</f>
        <v>0</v>
      </c>
      <c r="L49" s="134">
        <f>'Pemakaian Dalam Negeri REVISI'!H49</f>
        <v>0.98124000000000011</v>
      </c>
      <c r="M49" s="134">
        <f>'Pemakaian Dalam Negeri REVISI'!I49</f>
        <v>0</v>
      </c>
      <c r="N49" s="134">
        <f>'Pemakaian Dalam Negeri REVISI'!J49</f>
        <v>87.418760000000006</v>
      </c>
      <c r="O49" s="126">
        <f t="shared" si="1"/>
        <v>0.35234582132564846</v>
      </c>
      <c r="P49" s="126">
        <f t="shared" si="2"/>
        <v>0.96533101733054372</v>
      </c>
      <c r="Q49" s="122">
        <f t="shared" si="3"/>
        <v>0.20716003631913468</v>
      </c>
      <c r="R49" s="126">
        <f t="shared" si="4"/>
        <v>3.3593519403102923E-3</v>
      </c>
      <c r="S49" s="127">
        <f t="shared" si="5"/>
        <v>2.2395679602068615E-3</v>
      </c>
      <c r="T49" s="579">
        <v>58</v>
      </c>
      <c r="U49" s="578">
        <v>37</v>
      </c>
      <c r="V49" s="578">
        <v>0.6</v>
      </c>
      <c r="W49" s="577">
        <v>0.4</v>
      </c>
      <c r="X49" s="187"/>
      <c r="Y49" s="187"/>
      <c r="Z49" s="187"/>
      <c r="AA49" s="187"/>
      <c r="AB49" s="187"/>
      <c r="AC49" s="364"/>
      <c r="AE49" s="351">
        <v>58.1</v>
      </c>
      <c r="AF49" s="351">
        <v>37</v>
      </c>
      <c r="AG49" s="351">
        <v>0.6</v>
      </c>
      <c r="AH49" s="351">
        <v>0.4</v>
      </c>
    </row>
    <row r="50" spans="1:34" ht="14.1" customHeight="1" x14ac:dyDescent="0.2">
      <c r="A50" s="297">
        <v>29</v>
      </c>
      <c r="B50" s="293" t="s">
        <v>82</v>
      </c>
      <c r="C50" s="45"/>
      <c r="D50" s="133">
        <f>Produksi!F56</f>
        <v>1166.8</v>
      </c>
      <c r="E50" s="333">
        <f>Stok!L55</f>
        <v>0</v>
      </c>
      <c r="F50" s="134">
        <f>'Impor_Pangan Masuk'!F55+'ESTIMASI  Ekspor Impor'!J50</f>
        <v>585.77853868544048</v>
      </c>
      <c r="G50" s="134">
        <f>'Ekspor_Pangan Keluar'!F55+'ESTIMASI  Ekspor Impor'!K50</f>
        <v>0</v>
      </c>
      <c r="H50" s="134">
        <f t="shared" si="0"/>
        <v>1752.5785386854404</v>
      </c>
      <c r="I50" s="134">
        <f>'Pemakaian Dalam Negeri REVISI'!E50</f>
        <v>0</v>
      </c>
      <c r="J50" s="134">
        <f>'Pemakaian Dalam Negeri REVISI'!F50</f>
        <v>0</v>
      </c>
      <c r="K50" s="134">
        <f>'Pemakaian Dalam Negeri REVISI'!G50</f>
        <v>0</v>
      </c>
      <c r="L50" s="134">
        <f>'Pemakaian Dalam Negeri REVISI'!H50</f>
        <v>19.45362177940839</v>
      </c>
      <c r="M50" s="134">
        <f>'Pemakaian Dalam Negeri REVISI'!I50</f>
        <v>0</v>
      </c>
      <c r="N50" s="134">
        <f>'Pemakaian Dalam Negeri REVISI'!J50</f>
        <v>1733.124916906032</v>
      </c>
      <c r="O50" s="126">
        <f t="shared" si="1"/>
        <v>6.985449373878124</v>
      </c>
      <c r="P50" s="126">
        <f t="shared" si="2"/>
        <v>19.138217462679794</v>
      </c>
      <c r="Q50" s="122">
        <f t="shared" si="3"/>
        <v>1.1339011082288526</v>
      </c>
      <c r="R50" s="126">
        <f t="shared" si="4"/>
        <v>2.0248234075515223E-2</v>
      </c>
      <c r="S50" s="127">
        <f t="shared" si="5"/>
        <v>7.9232220295494347E-3</v>
      </c>
      <c r="T50" s="579">
        <v>46</v>
      </c>
      <c r="U50" s="578">
        <v>12.88</v>
      </c>
      <c r="V50" s="578">
        <v>0.23</v>
      </c>
      <c r="W50" s="577">
        <v>0.09</v>
      </c>
      <c r="X50" s="187"/>
      <c r="Y50" s="187"/>
      <c r="Z50" s="187"/>
      <c r="AA50" s="187"/>
      <c r="AB50" s="187"/>
      <c r="AC50" s="364"/>
      <c r="AE50" s="351">
        <v>46</v>
      </c>
      <c r="AF50" s="351">
        <v>28</v>
      </c>
      <c r="AG50" s="351">
        <v>0.5</v>
      </c>
      <c r="AH50" s="351">
        <v>0.2</v>
      </c>
    </row>
    <row r="51" spans="1:34" ht="14.1" customHeight="1" x14ac:dyDescent="0.2">
      <c r="A51" s="297">
        <v>30</v>
      </c>
      <c r="B51" s="293" t="s">
        <v>83</v>
      </c>
      <c r="C51" s="45"/>
      <c r="D51" s="133">
        <f>Produksi!F57</f>
        <v>0.8</v>
      </c>
      <c r="E51" s="333">
        <f>Stok!L56</f>
        <v>0</v>
      </c>
      <c r="F51" s="134">
        <f>'Impor_Pangan Masuk'!F56+'ESTIMASI  Ekspor Impor'!J51</f>
        <v>0</v>
      </c>
      <c r="G51" s="134">
        <f>'Ekspor_Pangan Keluar'!F56+'ESTIMASI  Ekspor Impor'!K51</f>
        <v>0</v>
      </c>
      <c r="H51" s="134">
        <f t="shared" si="0"/>
        <v>0.8</v>
      </c>
      <c r="I51" s="134">
        <f>'Pemakaian Dalam Negeri REVISI'!E51</f>
        <v>0</v>
      </c>
      <c r="J51" s="134">
        <f>'Pemakaian Dalam Negeri REVISI'!F51</f>
        <v>0</v>
      </c>
      <c r="K51" s="134">
        <f>'Pemakaian Dalam Negeri REVISI'!G51</f>
        <v>0</v>
      </c>
      <c r="L51" s="134">
        <f>'Pemakaian Dalam Negeri REVISI'!H51</f>
        <v>8.8800000000000007E-3</v>
      </c>
      <c r="M51" s="134">
        <f>'Pemakaian Dalam Negeri REVISI'!I51</f>
        <v>0</v>
      </c>
      <c r="N51" s="134">
        <f>'Pemakaian Dalam Negeri REVISI'!J51</f>
        <v>0.79112000000000005</v>
      </c>
      <c r="O51" s="126">
        <f t="shared" si="1"/>
        <v>3.1886499667479495E-3</v>
      </c>
      <c r="P51" s="126">
        <f t="shared" si="2"/>
        <v>8.7360273061587654E-3</v>
      </c>
      <c r="Q51" s="122">
        <f t="shared" si="3"/>
        <v>2.3260196864286083E-3</v>
      </c>
      <c r="R51" s="126">
        <f t="shared" si="4"/>
        <v>2.554414384320823E-5</v>
      </c>
      <c r="S51" s="127">
        <f t="shared" si="5"/>
        <v>2.554414384320823E-5</v>
      </c>
      <c r="T51" s="579">
        <v>86</v>
      </c>
      <c r="U51" s="578">
        <v>30.96</v>
      </c>
      <c r="V51" s="578">
        <v>0.34</v>
      </c>
      <c r="W51" s="577">
        <v>0.34</v>
      </c>
      <c r="X51" s="187"/>
      <c r="Y51" s="187"/>
      <c r="Z51" s="187"/>
      <c r="AA51" s="187"/>
      <c r="AB51" s="187"/>
      <c r="AC51" s="364"/>
      <c r="AE51" s="351">
        <v>86</v>
      </c>
      <c r="AF51" s="351">
        <v>36</v>
      </c>
      <c r="AG51" s="351">
        <v>0.4</v>
      </c>
      <c r="AH51" s="351">
        <v>0.4</v>
      </c>
    </row>
    <row r="52" spans="1:34" ht="14.1" customHeight="1" x14ac:dyDescent="0.2">
      <c r="A52" s="297">
        <v>31</v>
      </c>
      <c r="B52" s="293" t="s">
        <v>84</v>
      </c>
      <c r="C52" s="45"/>
      <c r="D52" s="133">
        <f>Produksi!F58</f>
        <v>398.5</v>
      </c>
      <c r="E52" s="333">
        <f>Stok!L57</f>
        <v>0</v>
      </c>
      <c r="F52" s="134">
        <f>'Impor_Pangan Masuk'!F57+'ESTIMASI  Ekspor Impor'!J52</f>
        <v>0</v>
      </c>
      <c r="G52" s="134">
        <f>'Ekspor_Pangan Keluar'!F57+'ESTIMASI  Ekspor Impor'!K52</f>
        <v>0</v>
      </c>
      <c r="H52" s="134">
        <f t="shared" si="0"/>
        <v>398.5</v>
      </c>
      <c r="I52" s="134">
        <f>'Pemakaian Dalam Negeri REVISI'!E52</f>
        <v>0</v>
      </c>
      <c r="J52" s="134">
        <f>'Pemakaian Dalam Negeri REVISI'!F52</f>
        <v>0</v>
      </c>
      <c r="K52" s="134">
        <f>'Pemakaian Dalam Negeri REVISI'!G52</f>
        <v>0</v>
      </c>
      <c r="L52" s="134">
        <f>'Pemakaian Dalam Negeri REVISI'!H52</f>
        <v>4.4233500000000001</v>
      </c>
      <c r="M52" s="134">
        <f>'Pemakaian Dalam Negeri REVISI'!I52</f>
        <v>0</v>
      </c>
      <c r="N52" s="134">
        <f>'Pemakaian Dalam Negeri REVISI'!J52</f>
        <v>394.07664999999997</v>
      </c>
      <c r="O52" s="126">
        <f t="shared" si="1"/>
        <v>1.5883462646863222</v>
      </c>
      <c r="P52" s="126">
        <f t="shared" si="2"/>
        <v>4.3516336018803354</v>
      </c>
      <c r="Q52" s="122">
        <f t="shared" si="3"/>
        <v>0.79504345906353735</v>
      </c>
      <c r="R52" s="126">
        <f t="shared" si="4"/>
        <v>7.5718424672717843E-3</v>
      </c>
      <c r="S52" s="127">
        <f t="shared" si="5"/>
        <v>7.5718424672717843E-3</v>
      </c>
      <c r="T52" s="579">
        <v>29</v>
      </c>
      <c r="U52" s="578">
        <v>63</v>
      </c>
      <c r="V52" s="578">
        <v>0.6</v>
      </c>
      <c r="W52" s="577">
        <v>0.6</v>
      </c>
      <c r="X52" s="187"/>
      <c r="Y52" s="187"/>
      <c r="Z52" s="187"/>
      <c r="AA52" s="187"/>
      <c r="AB52" s="187"/>
      <c r="AC52" s="364"/>
      <c r="AE52" s="351">
        <v>29</v>
      </c>
      <c r="AF52" s="351">
        <v>63</v>
      </c>
      <c r="AG52" s="351">
        <v>0.6</v>
      </c>
      <c r="AH52" s="351">
        <v>0.6</v>
      </c>
    </row>
    <row r="53" spans="1:34" ht="14.1" customHeight="1" x14ac:dyDescent="0.2">
      <c r="A53" s="297">
        <v>32</v>
      </c>
      <c r="B53" s="293" t="s">
        <v>85</v>
      </c>
      <c r="C53" s="45"/>
      <c r="D53" s="133">
        <f>Produksi!F59</f>
        <v>632.70000000000005</v>
      </c>
      <c r="E53" s="333">
        <f>Stok!L58</f>
        <v>0</v>
      </c>
      <c r="F53" s="134">
        <f>'Impor_Pangan Masuk'!F58+'ESTIMASI  Ekspor Impor'!J53</f>
        <v>0</v>
      </c>
      <c r="G53" s="134">
        <f>'Ekspor_Pangan Keluar'!F58+'ESTIMASI  Ekspor Impor'!K53</f>
        <v>0</v>
      </c>
      <c r="H53" s="134">
        <f t="shared" si="0"/>
        <v>632.70000000000005</v>
      </c>
      <c r="I53" s="134">
        <f>'Pemakaian Dalam Negeri REVISI'!E53</f>
        <v>0</v>
      </c>
      <c r="J53" s="134">
        <f>'Pemakaian Dalam Negeri REVISI'!F53</f>
        <v>0</v>
      </c>
      <c r="K53" s="134">
        <f>'Pemakaian Dalam Negeri REVISI'!G53</f>
        <v>0</v>
      </c>
      <c r="L53" s="134">
        <f>'Pemakaian Dalam Negeri REVISI'!H53</f>
        <v>7.0229700000000008</v>
      </c>
      <c r="M53" s="134">
        <f>'Pemakaian Dalam Negeri REVISI'!I53</f>
        <v>0</v>
      </c>
      <c r="N53" s="134">
        <f>'Pemakaian Dalam Negeri REVISI'!J53</f>
        <v>625.67703000000006</v>
      </c>
      <c r="O53" s="126">
        <f t="shared" si="1"/>
        <v>2.5218235424517847</v>
      </c>
      <c r="P53" s="126">
        <f t="shared" si="2"/>
        <v>6.909105595758315</v>
      </c>
      <c r="Q53" s="122">
        <f t="shared" si="3"/>
        <v>0.57417431142989905</v>
      </c>
      <c r="R53" s="126">
        <f t="shared" si="4"/>
        <v>6.5774685271619169E-3</v>
      </c>
      <c r="S53" s="127">
        <f t="shared" si="5"/>
        <v>1.5476396534498628E-3</v>
      </c>
      <c r="T53" s="579">
        <v>28</v>
      </c>
      <c r="U53" s="578">
        <v>29.68</v>
      </c>
      <c r="V53" s="578">
        <v>0.34</v>
      </c>
      <c r="W53" s="577">
        <v>0.08</v>
      </c>
      <c r="X53" s="187"/>
      <c r="Y53" s="187"/>
      <c r="Z53" s="187"/>
      <c r="AA53" s="187"/>
      <c r="AB53" s="187"/>
      <c r="AC53" s="364"/>
      <c r="AE53" s="351">
        <v>28</v>
      </c>
      <c r="AF53" s="351">
        <v>106</v>
      </c>
      <c r="AG53" s="351">
        <v>1.2</v>
      </c>
      <c r="AH53" s="351">
        <v>0.3</v>
      </c>
    </row>
    <row r="54" spans="1:34" s="163" customFormat="1" x14ac:dyDescent="0.2">
      <c r="A54" s="297">
        <v>33</v>
      </c>
      <c r="B54" s="293" t="s">
        <v>86</v>
      </c>
      <c r="C54" s="45"/>
      <c r="D54" s="133">
        <f>Produksi!F60</f>
        <v>0</v>
      </c>
      <c r="E54" s="333">
        <f>Stok!L59</f>
        <v>0</v>
      </c>
      <c r="F54" s="134">
        <f>'Impor_Pangan Masuk'!F59+'ESTIMASI  Ekspor Impor'!J54</f>
        <v>0</v>
      </c>
      <c r="G54" s="134">
        <f>'Ekspor_Pangan Keluar'!F59+'ESTIMASI  Ekspor Impor'!K54</f>
        <v>0</v>
      </c>
      <c r="H54" s="134">
        <f t="shared" si="0"/>
        <v>0</v>
      </c>
      <c r="I54" s="134">
        <f>'Pemakaian Dalam Negeri REVISI'!E54</f>
        <v>0</v>
      </c>
      <c r="J54" s="134">
        <f>'Pemakaian Dalam Negeri REVISI'!F54</f>
        <v>0</v>
      </c>
      <c r="K54" s="134">
        <f>'Pemakaian Dalam Negeri REVISI'!G54</f>
        <v>0</v>
      </c>
      <c r="L54" s="134">
        <f>'Pemakaian Dalam Negeri REVISI'!H54</f>
        <v>0</v>
      </c>
      <c r="M54" s="134">
        <f>'Pemakaian Dalam Negeri REVISI'!I54</f>
        <v>0</v>
      </c>
      <c r="N54" s="134">
        <f>'Pemakaian Dalam Negeri REVISI'!J54</f>
        <v>0</v>
      </c>
      <c r="O54" s="126">
        <f t="shared" si="1"/>
        <v>0</v>
      </c>
      <c r="P54" s="126">
        <f t="shared" si="2"/>
        <v>0</v>
      </c>
      <c r="Q54" s="122">
        <f t="shared" si="3"/>
        <v>0</v>
      </c>
      <c r="R54" s="126">
        <f t="shared" si="4"/>
        <v>0</v>
      </c>
      <c r="S54" s="127">
        <f t="shared" si="5"/>
        <v>0</v>
      </c>
      <c r="T54" s="579">
        <v>48</v>
      </c>
      <c r="U54" s="578">
        <v>144</v>
      </c>
      <c r="V54" s="578">
        <v>3.5</v>
      </c>
      <c r="W54" s="577">
        <v>1.2</v>
      </c>
      <c r="X54" s="187"/>
      <c r="Y54" s="187"/>
      <c r="Z54" s="187"/>
      <c r="AA54" s="187"/>
      <c r="AB54" s="187"/>
      <c r="AC54" s="364"/>
      <c r="AE54" s="351">
        <v>48</v>
      </c>
      <c r="AF54" s="351">
        <v>144</v>
      </c>
      <c r="AG54" s="351">
        <v>3.5</v>
      </c>
      <c r="AH54" s="351">
        <v>1.2</v>
      </c>
    </row>
    <row r="55" spans="1:34" s="163" customFormat="1" x14ac:dyDescent="0.2">
      <c r="A55" s="297">
        <v>34</v>
      </c>
      <c r="B55" s="293" t="s">
        <v>87</v>
      </c>
      <c r="C55" s="45"/>
      <c r="D55" s="133">
        <f>Produksi!F61</f>
        <v>6.9</v>
      </c>
      <c r="E55" s="333">
        <f>Stok!L60</f>
        <v>0</v>
      </c>
      <c r="F55" s="134">
        <f>'Impor_Pangan Masuk'!F60+'ESTIMASI  Ekspor Impor'!J55</f>
        <v>0</v>
      </c>
      <c r="G55" s="134">
        <f>'Ekspor_Pangan Keluar'!F60+'ESTIMASI  Ekspor Impor'!K55</f>
        <v>0</v>
      </c>
      <c r="H55" s="134">
        <f t="shared" si="0"/>
        <v>6.9</v>
      </c>
      <c r="I55" s="134">
        <f>'Pemakaian Dalam Negeri REVISI'!E55</f>
        <v>0</v>
      </c>
      <c r="J55" s="134">
        <f>'Pemakaian Dalam Negeri REVISI'!F55</f>
        <v>0</v>
      </c>
      <c r="K55" s="134">
        <f>'Pemakaian Dalam Negeri REVISI'!G55</f>
        <v>0</v>
      </c>
      <c r="L55" s="134">
        <f>'Pemakaian Dalam Negeri REVISI'!H55</f>
        <v>7.6590000000000005E-2</v>
      </c>
      <c r="M55" s="134">
        <f>'Pemakaian Dalam Negeri REVISI'!I55</f>
        <v>0</v>
      </c>
      <c r="N55" s="134">
        <f>'Pemakaian Dalam Negeri REVISI'!J55</f>
        <v>6.82341</v>
      </c>
      <c r="O55" s="126">
        <f t="shared" si="1"/>
        <v>2.7502105963201066E-2</v>
      </c>
      <c r="P55" s="126">
        <f t="shared" si="2"/>
        <v>7.5348235515619366E-2</v>
      </c>
      <c r="Q55" s="122">
        <f t="shared" si="3"/>
        <v>3.3303920097903762E-2</v>
      </c>
      <c r="R55" s="126">
        <f t="shared" si="4"/>
        <v>5.1236800150621174E-4</v>
      </c>
      <c r="S55" s="127">
        <f t="shared" si="5"/>
        <v>1.5371040045186353E-4</v>
      </c>
      <c r="T55" s="579">
        <v>68</v>
      </c>
      <c r="U55" s="578">
        <v>65</v>
      </c>
      <c r="V55" s="578">
        <v>1</v>
      </c>
      <c r="W55" s="577">
        <v>0.3</v>
      </c>
      <c r="X55" s="187"/>
      <c r="Y55" s="187"/>
      <c r="Z55" s="187"/>
      <c r="AA55" s="187"/>
      <c r="AB55" s="187"/>
      <c r="AC55" s="364"/>
      <c r="AE55" s="351">
        <v>68</v>
      </c>
      <c r="AF55" s="351">
        <v>65</v>
      </c>
      <c r="AG55" s="351">
        <v>1</v>
      </c>
      <c r="AH55" s="351">
        <v>0.3</v>
      </c>
    </row>
    <row r="56" spans="1:34" ht="14.1" customHeight="1" x14ac:dyDescent="0.2">
      <c r="A56" s="297">
        <v>35</v>
      </c>
      <c r="B56" s="293" t="s">
        <v>88</v>
      </c>
      <c r="C56" s="45"/>
      <c r="D56" s="133">
        <f>Produksi!F62</f>
        <v>38.6</v>
      </c>
      <c r="E56" s="333">
        <f>Stok!L61</f>
        <v>0</v>
      </c>
      <c r="F56" s="134">
        <f>'Impor_Pangan Masuk'!F61+'ESTIMASI  Ekspor Impor'!J56</f>
        <v>0</v>
      </c>
      <c r="G56" s="134">
        <f>'Ekspor_Pangan Keluar'!F61+'ESTIMASI  Ekspor Impor'!K56</f>
        <v>0</v>
      </c>
      <c r="H56" s="134">
        <f t="shared" si="0"/>
        <v>38.6</v>
      </c>
      <c r="I56" s="134">
        <f>'Pemakaian Dalam Negeri REVISI'!E56</f>
        <v>0</v>
      </c>
      <c r="J56" s="134">
        <f>'Pemakaian Dalam Negeri REVISI'!F56</f>
        <v>0</v>
      </c>
      <c r="K56" s="134">
        <f>'Pemakaian Dalam Negeri REVISI'!G56</f>
        <v>0</v>
      </c>
      <c r="L56" s="134">
        <f>'Pemakaian Dalam Negeri REVISI'!H56</f>
        <v>0.42846000000000001</v>
      </c>
      <c r="M56" s="134">
        <f>'Pemakaian Dalam Negeri REVISI'!I56</f>
        <v>0</v>
      </c>
      <c r="N56" s="134">
        <f>'Pemakaian Dalam Negeri REVISI'!J56</f>
        <v>38.17154</v>
      </c>
      <c r="O56" s="126">
        <f t="shared" si="1"/>
        <v>0.15385236089558857</v>
      </c>
      <c r="P56" s="126">
        <f t="shared" si="2"/>
        <v>0.42151331752216048</v>
      </c>
      <c r="Q56" s="122">
        <f t="shared" si="3"/>
        <v>0.45624601488598648</v>
      </c>
      <c r="R56" s="126">
        <f t="shared" si="4"/>
        <v>5.5639757912925181E-3</v>
      </c>
      <c r="S56" s="127">
        <f t="shared" si="5"/>
        <v>7.4186343883900251E-4</v>
      </c>
      <c r="T56" s="579">
        <v>88</v>
      </c>
      <c r="U56" s="578">
        <v>123</v>
      </c>
      <c r="V56" s="578">
        <v>1.5</v>
      </c>
      <c r="W56" s="577">
        <v>0.2</v>
      </c>
      <c r="X56" s="187"/>
      <c r="Y56" s="187"/>
      <c r="Z56" s="187"/>
      <c r="AA56" s="187"/>
      <c r="AB56" s="187"/>
      <c r="AC56" s="364"/>
      <c r="AE56" s="351">
        <v>86</v>
      </c>
      <c r="AF56" s="351" t="s">
        <v>550</v>
      </c>
      <c r="AG56" s="351" t="s">
        <v>551</v>
      </c>
      <c r="AH56" s="351" t="s">
        <v>552</v>
      </c>
    </row>
    <row r="57" spans="1:34" ht="14.1" customHeight="1" x14ac:dyDescent="0.2">
      <c r="A57" s="297">
        <v>36</v>
      </c>
      <c r="B57" s="293" t="s">
        <v>89</v>
      </c>
      <c r="C57" s="45"/>
      <c r="D57" s="133">
        <f>Produksi!F63</f>
        <v>0</v>
      </c>
      <c r="E57" s="333">
        <f>Stok!L62</f>
        <v>0</v>
      </c>
      <c r="F57" s="134">
        <f>'Impor_Pangan Masuk'!F62+'ESTIMASI  Ekspor Impor'!J57</f>
        <v>183.23814768044039</v>
      </c>
      <c r="G57" s="134">
        <f>'Ekspor_Pangan Keluar'!F62+'ESTIMASI  Ekspor Impor'!K57</f>
        <v>0</v>
      </c>
      <c r="H57" s="134">
        <f t="shared" si="0"/>
        <v>183.23814768044039</v>
      </c>
      <c r="I57" s="134">
        <f>'Pemakaian Dalam Negeri REVISI'!E57</f>
        <v>0</v>
      </c>
      <c r="J57" s="134">
        <f>'Pemakaian Dalam Negeri REVISI'!F57</f>
        <v>0</v>
      </c>
      <c r="K57" s="134">
        <f>'Pemakaian Dalam Negeri REVISI'!G57</f>
        <v>0</v>
      </c>
      <c r="L57" s="134">
        <f>'Pemakaian Dalam Negeri REVISI'!H57</f>
        <v>2.0339434392528886</v>
      </c>
      <c r="M57" s="134">
        <f>'Pemakaian Dalam Negeri REVISI'!I57</f>
        <v>0</v>
      </c>
      <c r="N57" s="134">
        <f>'Pemakaian Dalam Negeri REVISI'!J57</f>
        <v>181.20420424118751</v>
      </c>
      <c r="O57" s="126">
        <f t="shared" si="1"/>
        <v>0.73035289188524011</v>
      </c>
      <c r="P57" s="126">
        <f t="shared" si="2"/>
        <v>2.0009668270828493</v>
      </c>
      <c r="Q57" s="122">
        <f t="shared" si="3"/>
        <v>1.0124892145039217</v>
      </c>
      <c r="R57" s="126">
        <f t="shared" si="4"/>
        <v>7.0434032313316302E-3</v>
      </c>
      <c r="S57" s="127">
        <f t="shared" si="5"/>
        <v>7.0434032313316302E-3</v>
      </c>
      <c r="T57" s="385">
        <v>88</v>
      </c>
      <c r="U57" s="351">
        <v>57.5</v>
      </c>
      <c r="V57" s="351">
        <v>0.4</v>
      </c>
      <c r="W57" s="386">
        <v>0.4</v>
      </c>
      <c r="X57" s="187"/>
      <c r="Y57" s="187"/>
      <c r="Z57" s="187"/>
      <c r="AA57" s="187"/>
      <c r="AB57" s="187"/>
      <c r="AC57" s="364"/>
      <c r="AD57" s="120" t="s">
        <v>533</v>
      </c>
      <c r="AE57" s="352">
        <v>88</v>
      </c>
      <c r="AF57" s="352" t="s">
        <v>553</v>
      </c>
      <c r="AG57" s="352" t="s">
        <v>554</v>
      </c>
      <c r="AH57" s="352" t="s">
        <v>554</v>
      </c>
    </row>
    <row r="58" spans="1:34" ht="14.1" customHeight="1" x14ac:dyDescent="0.2">
      <c r="A58" s="297">
        <v>37</v>
      </c>
      <c r="B58" s="293" t="s">
        <v>90</v>
      </c>
      <c r="C58" s="45"/>
      <c r="D58" s="133">
        <f>Produksi!F64</f>
        <v>0</v>
      </c>
      <c r="E58" s="333">
        <f>Stok!L63</f>
        <v>0</v>
      </c>
      <c r="F58" s="134">
        <f>'Impor_Pangan Masuk'!F63+'ESTIMASI  Ekspor Impor'!J58</f>
        <v>87</v>
      </c>
      <c r="G58" s="134">
        <f>'Ekspor_Pangan Keluar'!F63+'ESTIMASI  Ekspor Impor'!K58</f>
        <v>0</v>
      </c>
      <c r="H58" s="134">
        <f t="shared" si="0"/>
        <v>87</v>
      </c>
      <c r="I58" s="134">
        <f>'Pemakaian Dalam Negeri REVISI'!E58</f>
        <v>0</v>
      </c>
      <c r="J58" s="134">
        <f>'Pemakaian Dalam Negeri REVISI'!F58</f>
        <v>0</v>
      </c>
      <c r="K58" s="134">
        <f>'Pemakaian Dalam Negeri REVISI'!G58</f>
        <v>0</v>
      </c>
      <c r="L58" s="134">
        <f>'Pemakaian Dalam Negeri REVISI'!H58</f>
        <v>0.9657</v>
      </c>
      <c r="M58" s="134">
        <f>'Pemakaian Dalam Negeri REVISI'!I58</f>
        <v>0</v>
      </c>
      <c r="N58" s="134">
        <f>'Pemakaian Dalam Negeri REVISI'!J58</f>
        <v>86.034300000000002</v>
      </c>
      <c r="O58" s="126">
        <f t="shared" si="1"/>
        <v>0.34676568388383949</v>
      </c>
      <c r="P58" s="126">
        <f t="shared" si="2"/>
        <v>0.95004296954476575</v>
      </c>
      <c r="Q58" s="122">
        <f t="shared" si="3"/>
        <v>0.38001718781790628</v>
      </c>
      <c r="R58" s="126">
        <f t="shared" si="4"/>
        <v>4.7502148477238286E-3</v>
      </c>
      <c r="S58" s="127">
        <f t="shared" si="5"/>
        <v>1.9000859390895315E-3</v>
      </c>
      <c r="T58" s="579">
        <v>100</v>
      </c>
      <c r="U58" s="578">
        <v>40</v>
      </c>
      <c r="V58" s="578">
        <v>0.5</v>
      </c>
      <c r="W58" s="577">
        <v>0.2</v>
      </c>
      <c r="X58" s="187"/>
      <c r="Y58" s="187"/>
      <c r="Z58" s="187"/>
      <c r="AA58" s="187"/>
      <c r="AB58" s="187"/>
      <c r="AC58" s="364"/>
      <c r="AE58" s="351">
        <v>100</v>
      </c>
      <c r="AF58" s="351">
        <v>30</v>
      </c>
      <c r="AG58" s="351">
        <v>0.5</v>
      </c>
      <c r="AH58" s="351">
        <v>0.2</v>
      </c>
    </row>
    <row r="59" spans="1:34" ht="14.1" customHeight="1" x14ac:dyDescent="0.2">
      <c r="A59" s="297">
        <v>38</v>
      </c>
      <c r="B59" s="293" t="s">
        <v>91</v>
      </c>
      <c r="C59" s="45"/>
      <c r="D59" s="133">
        <f>Produksi!F65</f>
        <v>0</v>
      </c>
      <c r="E59" s="333">
        <f>Stok!L64</f>
        <v>0</v>
      </c>
      <c r="F59" s="134">
        <f>'Impor_Pangan Masuk'!F64+'ESTIMASI  Ekspor Impor'!J59</f>
        <v>0</v>
      </c>
      <c r="G59" s="134">
        <f>'Ekspor_Pangan Keluar'!F64+'ESTIMASI  Ekspor Impor'!K59</f>
        <v>0</v>
      </c>
      <c r="H59" s="134">
        <f t="shared" si="0"/>
        <v>0</v>
      </c>
      <c r="I59" s="134">
        <f>'Pemakaian Dalam Negeri REVISI'!E59</f>
        <v>0</v>
      </c>
      <c r="J59" s="134">
        <f>'Pemakaian Dalam Negeri REVISI'!F59</f>
        <v>0</v>
      </c>
      <c r="K59" s="134">
        <f>'Pemakaian Dalam Negeri REVISI'!G59</f>
        <v>0</v>
      </c>
      <c r="L59" s="134">
        <f>'Pemakaian Dalam Negeri REVISI'!H59</f>
        <v>0</v>
      </c>
      <c r="M59" s="134">
        <f>'Pemakaian Dalam Negeri REVISI'!I59</f>
        <v>0</v>
      </c>
      <c r="N59" s="134">
        <f>'Pemakaian Dalam Negeri REVISI'!J59</f>
        <v>0</v>
      </c>
      <c r="O59" s="126">
        <f t="shared" si="1"/>
        <v>0</v>
      </c>
      <c r="P59" s="126">
        <f t="shared" si="2"/>
        <v>0</v>
      </c>
      <c r="Q59" s="122">
        <f t="shared" si="3"/>
        <v>0</v>
      </c>
      <c r="R59" s="126">
        <f t="shared" si="4"/>
        <v>0</v>
      </c>
      <c r="S59" s="127">
        <f t="shared" si="5"/>
        <v>0</v>
      </c>
      <c r="T59" s="576">
        <v>63</v>
      </c>
      <c r="U59" s="575">
        <v>58.7</v>
      </c>
      <c r="V59" s="575">
        <v>1</v>
      </c>
      <c r="W59" s="574">
        <v>1.8</v>
      </c>
      <c r="X59" s="187"/>
      <c r="Y59" s="187"/>
      <c r="Z59" s="187"/>
      <c r="AA59" s="187"/>
      <c r="AB59" s="187"/>
      <c r="AC59" s="364"/>
      <c r="AE59" s="353"/>
      <c r="AF59" s="353"/>
      <c r="AG59" s="353"/>
      <c r="AH59" s="353"/>
    </row>
    <row r="60" spans="1:34" ht="14.1" customHeight="1" x14ac:dyDescent="0.2">
      <c r="A60" s="297">
        <v>39</v>
      </c>
      <c r="B60" s="293" t="s">
        <v>92</v>
      </c>
      <c r="C60" s="45"/>
      <c r="D60" s="133">
        <f>Produksi!F66</f>
        <v>0</v>
      </c>
      <c r="E60" s="333">
        <f>Stok!L65</f>
        <v>0</v>
      </c>
      <c r="F60" s="134">
        <f>'Impor_Pangan Masuk'!F65+'ESTIMASI  Ekspor Impor'!J60</f>
        <v>0</v>
      </c>
      <c r="G60" s="134">
        <f>'Ekspor_Pangan Keluar'!F65+'ESTIMASI  Ekspor Impor'!K60</f>
        <v>0</v>
      </c>
      <c r="H60" s="134">
        <f t="shared" si="0"/>
        <v>0</v>
      </c>
      <c r="I60" s="134">
        <f>'Pemakaian Dalam Negeri REVISI'!E60</f>
        <v>0</v>
      </c>
      <c r="J60" s="134">
        <f>'Pemakaian Dalam Negeri REVISI'!F60</f>
        <v>0</v>
      </c>
      <c r="K60" s="134">
        <f>'Pemakaian Dalam Negeri REVISI'!G60</f>
        <v>0</v>
      </c>
      <c r="L60" s="134">
        <f>'Pemakaian Dalam Negeri REVISI'!H60</f>
        <v>0</v>
      </c>
      <c r="M60" s="134">
        <f>'Pemakaian Dalam Negeri REVISI'!I60</f>
        <v>0</v>
      </c>
      <c r="N60" s="134">
        <f>'Pemakaian Dalam Negeri REVISI'!J60</f>
        <v>0</v>
      </c>
      <c r="O60" s="126">
        <f t="shared" si="1"/>
        <v>0</v>
      </c>
      <c r="P60" s="126">
        <f t="shared" si="2"/>
        <v>0</v>
      </c>
      <c r="Q60" s="122">
        <f t="shared" si="3"/>
        <v>0</v>
      </c>
      <c r="R60" s="126">
        <f t="shared" si="4"/>
        <v>0</v>
      </c>
      <c r="S60" s="127">
        <f t="shared" si="5"/>
        <v>0</v>
      </c>
      <c r="T60" s="576">
        <v>100</v>
      </c>
      <c r="U60" s="575">
        <v>77</v>
      </c>
      <c r="V60" s="575">
        <v>0.45</v>
      </c>
      <c r="W60" s="574">
        <v>0.15</v>
      </c>
      <c r="X60" s="187"/>
      <c r="Y60" s="187"/>
      <c r="Z60" s="187"/>
      <c r="AA60" s="187"/>
      <c r="AB60" s="187"/>
      <c r="AC60" s="364"/>
      <c r="AE60" s="353"/>
      <c r="AF60" s="353"/>
      <c r="AG60" s="353"/>
      <c r="AH60" s="353"/>
    </row>
    <row r="61" spans="1:34" ht="14.1" customHeight="1" x14ac:dyDescent="0.2">
      <c r="A61" s="297">
        <v>40</v>
      </c>
      <c r="B61" s="293" t="s">
        <v>5</v>
      </c>
      <c r="C61" s="45"/>
      <c r="D61" s="133">
        <f>Produksi!F67</f>
        <v>7</v>
      </c>
      <c r="E61" s="333">
        <f>Stok!L66</f>
        <v>0</v>
      </c>
      <c r="F61" s="134">
        <f>'Impor_Pangan Masuk'!F66+'ESTIMASI  Ekspor Impor'!J61</f>
        <v>0</v>
      </c>
      <c r="G61" s="134">
        <f>'Ekspor_Pangan Keluar'!F66+'ESTIMASI  Ekspor Impor'!K61</f>
        <v>0</v>
      </c>
      <c r="H61" s="134">
        <f t="shared" si="0"/>
        <v>7</v>
      </c>
      <c r="I61" s="134">
        <f>'Pemakaian Dalam Negeri REVISI'!E61</f>
        <v>0</v>
      </c>
      <c r="J61" s="134">
        <f>'Pemakaian Dalam Negeri REVISI'!F61</f>
        <v>0</v>
      </c>
      <c r="K61" s="134">
        <f>'Pemakaian Dalam Negeri REVISI'!G61</f>
        <v>0</v>
      </c>
      <c r="L61" s="134">
        <f>'Pemakaian Dalam Negeri REVISI'!H61</f>
        <v>7.7700000000000005E-2</v>
      </c>
      <c r="M61" s="134">
        <f>'Pemakaian Dalam Negeri REVISI'!I61</f>
        <v>0</v>
      </c>
      <c r="N61" s="134">
        <f>'Pemakaian Dalam Negeri REVISI'!J61</f>
        <v>6.9222999999999999</v>
      </c>
      <c r="O61" s="126">
        <f t="shared" si="1"/>
        <v>2.7900687209044556E-2</v>
      </c>
      <c r="P61" s="126">
        <f t="shared" si="2"/>
        <v>7.6440238928889195E-2</v>
      </c>
      <c r="Q61" s="122">
        <f t="shared" si="3"/>
        <v>1.8452673677433851E-2</v>
      </c>
      <c r="R61" s="126">
        <f t="shared" si="4"/>
        <v>2.7136284819755666E-4</v>
      </c>
      <c r="S61" s="127">
        <f t="shared" si="5"/>
        <v>4.3418055711609067E-4</v>
      </c>
      <c r="T61" s="576">
        <v>71</v>
      </c>
      <c r="U61" s="575">
        <v>34</v>
      </c>
      <c r="V61" s="575">
        <v>0.5</v>
      </c>
      <c r="W61" s="574">
        <v>0.8</v>
      </c>
      <c r="X61" s="187"/>
      <c r="Y61" s="187"/>
      <c r="Z61" s="187"/>
      <c r="AA61" s="187"/>
      <c r="AB61" s="187"/>
      <c r="AC61" s="364"/>
      <c r="AE61" s="351">
        <v>100</v>
      </c>
      <c r="AF61" s="351">
        <v>34</v>
      </c>
      <c r="AG61" s="351">
        <v>0.5</v>
      </c>
      <c r="AH61" s="351">
        <v>0.8</v>
      </c>
    </row>
    <row r="62" spans="1:34" ht="14.1" customHeight="1" x14ac:dyDescent="0.2">
      <c r="A62" s="297">
        <v>41</v>
      </c>
      <c r="B62" s="293" t="s">
        <v>6</v>
      </c>
      <c r="C62" s="45"/>
      <c r="D62" s="133">
        <f>Produksi!F68</f>
        <v>10</v>
      </c>
      <c r="E62" s="333">
        <f>Stok!L67</f>
        <v>0</v>
      </c>
      <c r="F62" s="134">
        <f>'Impor_Pangan Masuk'!F67+'ESTIMASI  Ekspor Impor'!J62</f>
        <v>0</v>
      </c>
      <c r="G62" s="134">
        <f>'Ekspor_Pangan Keluar'!F67+'ESTIMASI  Ekspor Impor'!K62</f>
        <v>0</v>
      </c>
      <c r="H62" s="134">
        <f t="shared" si="0"/>
        <v>10</v>
      </c>
      <c r="I62" s="134">
        <f>'Pemakaian Dalam Negeri REVISI'!E62</f>
        <v>0</v>
      </c>
      <c r="J62" s="134">
        <f>'Pemakaian Dalam Negeri REVISI'!F62</f>
        <v>0</v>
      </c>
      <c r="K62" s="134">
        <f>'Pemakaian Dalam Negeri REVISI'!G62</f>
        <v>0</v>
      </c>
      <c r="L62" s="134">
        <f>'Pemakaian Dalam Negeri REVISI'!H62</f>
        <v>0.111</v>
      </c>
      <c r="M62" s="134">
        <f>'Pemakaian Dalam Negeri REVISI'!I62</f>
        <v>0</v>
      </c>
      <c r="N62" s="134">
        <f>'Pemakaian Dalam Negeri REVISI'!J62</f>
        <v>9.8889999999999993</v>
      </c>
      <c r="O62" s="126">
        <f t="shared" si="1"/>
        <v>3.9858124584349362E-2</v>
      </c>
      <c r="P62" s="126">
        <f t="shared" si="2"/>
        <v>0.10920034132698456</v>
      </c>
      <c r="Q62" s="122">
        <f t="shared" si="3"/>
        <v>3.2498021578910609E-2</v>
      </c>
      <c r="R62" s="126">
        <f t="shared" si="4"/>
        <v>4.0622526973638261E-4</v>
      </c>
      <c r="S62" s="127">
        <f t="shared" si="5"/>
        <v>1.3540842324546087E-4</v>
      </c>
      <c r="T62" s="576">
        <v>62</v>
      </c>
      <c r="U62" s="575">
        <v>48</v>
      </c>
      <c r="V62" s="575">
        <v>0.6</v>
      </c>
      <c r="W62" s="574">
        <v>0.2</v>
      </c>
      <c r="X62" s="187"/>
      <c r="Y62" s="187"/>
      <c r="Z62" s="187"/>
      <c r="AA62" s="187"/>
      <c r="AB62" s="187"/>
      <c r="AC62" s="364"/>
      <c r="AE62" s="353"/>
      <c r="AF62" s="353"/>
      <c r="AG62" s="353"/>
      <c r="AH62" s="353"/>
    </row>
    <row r="63" spans="1:34" ht="14.1" customHeight="1" x14ac:dyDescent="0.2">
      <c r="A63" s="297">
        <v>42</v>
      </c>
      <c r="B63" s="293" t="s">
        <v>7</v>
      </c>
      <c r="C63" s="45"/>
      <c r="D63" s="133">
        <f>Produksi!F69</f>
        <v>0</v>
      </c>
      <c r="E63" s="333">
        <f>Stok!L68</f>
        <v>0</v>
      </c>
      <c r="F63" s="134">
        <f>'Impor_Pangan Masuk'!F68+'ESTIMASI  Ekspor Impor'!J63</f>
        <v>0</v>
      </c>
      <c r="G63" s="134">
        <f>'Ekspor_Pangan Keluar'!F68+'ESTIMASI  Ekspor Impor'!K63</f>
        <v>0</v>
      </c>
      <c r="H63" s="134">
        <f t="shared" si="0"/>
        <v>0</v>
      </c>
      <c r="I63" s="134">
        <f>'Pemakaian Dalam Negeri REVISI'!E63</f>
        <v>0</v>
      </c>
      <c r="J63" s="134">
        <f>'Pemakaian Dalam Negeri REVISI'!F63</f>
        <v>0</v>
      </c>
      <c r="K63" s="134">
        <f>'Pemakaian Dalam Negeri REVISI'!G63</f>
        <v>0</v>
      </c>
      <c r="L63" s="134">
        <f>'Pemakaian Dalam Negeri REVISI'!H63</f>
        <v>0</v>
      </c>
      <c r="M63" s="134">
        <f>'Pemakaian Dalam Negeri REVISI'!I63</f>
        <v>0</v>
      </c>
      <c r="N63" s="134">
        <f>'Pemakaian Dalam Negeri REVISI'!J63</f>
        <v>0</v>
      </c>
      <c r="O63" s="126">
        <f t="shared" si="1"/>
        <v>0</v>
      </c>
      <c r="P63" s="126">
        <f t="shared" si="2"/>
        <v>0</v>
      </c>
      <c r="Q63" s="122">
        <f t="shared" si="3"/>
        <v>0</v>
      </c>
      <c r="R63" s="126">
        <f t="shared" si="4"/>
        <v>0</v>
      </c>
      <c r="S63" s="127">
        <f t="shared" si="5"/>
        <v>0</v>
      </c>
      <c r="T63" s="576">
        <v>100</v>
      </c>
      <c r="U63" s="575">
        <v>296</v>
      </c>
      <c r="V63" s="575">
        <v>2.5</v>
      </c>
      <c r="W63" s="574">
        <v>0</v>
      </c>
      <c r="X63" s="187"/>
      <c r="Y63" s="187"/>
      <c r="Z63" s="187"/>
      <c r="AA63" s="187"/>
      <c r="AB63" s="187"/>
      <c r="AC63" s="364"/>
      <c r="AE63" s="353"/>
      <c r="AF63" s="353"/>
      <c r="AG63" s="353"/>
      <c r="AH63" s="353"/>
    </row>
    <row r="64" spans="1:34" ht="14.1" customHeight="1" x14ac:dyDescent="0.2">
      <c r="A64" s="297">
        <v>43</v>
      </c>
      <c r="B64" s="293" t="s">
        <v>93</v>
      </c>
      <c r="C64" s="45"/>
      <c r="D64" s="133">
        <f>Produksi!F70</f>
        <v>0</v>
      </c>
      <c r="E64" s="333">
        <f>Stok!L69</f>
        <v>0</v>
      </c>
      <c r="F64" s="134">
        <f>'Impor_Pangan Masuk'!F69+'ESTIMASI  Ekspor Impor'!J64</f>
        <v>0</v>
      </c>
      <c r="G64" s="134">
        <f>'Ekspor_Pangan Keluar'!F69+'ESTIMASI  Ekspor Impor'!K64</f>
        <v>0</v>
      </c>
      <c r="H64" s="134">
        <f t="shared" si="0"/>
        <v>0</v>
      </c>
      <c r="I64" s="134">
        <f>'Pemakaian Dalam Negeri REVISI'!E64</f>
        <v>0</v>
      </c>
      <c r="J64" s="134">
        <f>'Pemakaian Dalam Negeri REVISI'!F64</f>
        <v>0</v>
      </c>
      <c r="K64" s="134">
        <f>'Pemakaian Dalam Negeri REVISI'!G64</f>
        <v>0</v>
      </c>
      <c r="L64" s="134">
        <f>'Pemakaian Dalam Negeri REVISI'!H64</f>
        <v>0</v>
      </c>
      <c r="M64" s="134">
        <f>'Pemakaian Dalam Negeri REVISI'!I64</f>
        <v>0</v>
      </c>
      <c r="N64" s="134">
        <f>'Pemakaian Dalam Negeri REVISI'!J64</f>
        <v>0</v>
      </c>
      <c r="O64" s="126">
        <f t="shared" si="1"/>
        <v>0</v>
      </c>
      <c r="P64" s="126">
        <f t="shared" si="2"/>
        <v>0</v>
      </c>
      <c r="Q64" s="122">
        <f t="shared" si="3"/>
        <v>0</v>
      </c>
      <c r="R64" s="126">
        <f t="shared" si="4"/>
        <v>0</v>
      </c>
      <c r="S64" s="127">
        <f t="shared" si="5"/>
        <v>0</v>
      </c>
      <c r="T64" s="576">
        <v>100</v>
      </c>
      <c r="U64" s="575">
        <v>69</v>
      </c>
      <c r="V64" s="575">
        <v>0.6</v>
      </c>
      <c r="W64" s="574">
        <v>0.1</v>
      </c>
      <c r="X64" s="187"/>
      <c r="Y64" s="187"/>
      <c r="Z64" s="187"/>
      <c r="AA64" s="187"/>
      <c r="AB64" s="187"/>
      <c r="AC64" s="364"/>
      <c r="AE64" s="353"/>
      <c r="AF64" s="353"/>
      <c r="AG64" s="353"/>
      <c r="AH64" s="353"/>
    </row>
    <row r="65" spans="1:34" ht="14.1" customHeight="1" x14ac:dyDescent="0.2">
      <c r="A65" s="297">
        <v>44</v>
      </c>
      <c r="B65" s="294" t="s">
        <v>8</v>
      </c>
      <c r="C65" s="45"/>
      <c r="D65" s="133">
        <f>Produksi!F71</f>
        <v>0</v>
      </c>
      <c r="E65" s="333">
        <f>Stok!L70</f>
        <v>0</v>
      </c>
      <c r="F65" s="134">
        <f>'Impor_Pangan Masuk'!F70+'ESTIMASI  Ekspor Impor'!J65</f>
        <v>50</v>
      </c>
      <c r="G65" s="134">
        <f>'Ekspor_Pangan Keluar'!F70+'ESTIMASI  Ekspor Impor'!K65</f>
        <v>0</v>
      </c>
      <c r="H65" s="134">
        <f t="shared" si="0"/>
        <v>50</v>
      </c>
      <c r="I65" s="134">
        <f>'Pemakaian Dalam Negeri REVISI'!E65</f>
        <v>0</v>
      </c>
      <c r="J65" s="134">
        <f>'Pemakaian Dalam Negeri REVISI'!F65</f>
        <v>0</v>
      </c>
      <c r="K65" s="134">
        <f>'Pemakaian Dalam Negeri REVISI'!G65</f>
        <v>0</v>
      </c>
      <c r="L65" s="134">
        <f>'Pemakaian Dalam Negeri REVISI'!H65</f>
        <v>0.55500000000000005</v>
      </c>
      <c r="M65" s="134">
        <f>'Pemakaian Dalam Negeri REVISI'!I65</f>
        <v>0</v>
      </c>
      <c r="N65" s="134">
        <f>'Pemakaian Dalam Negeri REVISI'!J65</f>
        <v>49.445</v>
      </c>
      <c r="O65" s="126">
        <f t="shared" si="1"/>
        <v>0.19929062292174685</v>
      </c>
      <c r="P65" s="126">
        <f t="shared" si="2"/>
        <v>0.54600170663492287</v>
      </c>
      <c r="Q65" s="122">
        <f t="shared" si="3"/>
        <v>0.36036112637904905</v>
      </c>
      <c r="R65" s="126">
        <f t="shared" si="4"/>
        <v>2.1840068265396913E-3</v>
      </c>
      <c r="S65" s="127">
        <f t="shared" si="5"/>
        <v>0</v>
      </c>
      <c r="T65" s="576">
        <v>100</v>
      </c>
      <c r="U65" s="575">
        <v>66</v>
      </c>
      <c r="V65" s="575">
        <v>0.4</v>
      </c>
      <c r="W65" s="574">
        <v>0</v>
      </c>
      <c r="X65" s="187"/>
      <c r="Y65" s="187"/>
      <c r="Z65" s="187"/>
      <c r="AA65" s="187"/>
      <c r="AB65" s="187"/>
      <c r="AC65" s="364"/>
      <c r="AE65" s="353"/>
      <c r="AF65" s="353"/>
      <c r="AG65" s="353"/>
      <c r="AH65" s="353"/>
    </row>
    <row r="66" spans="1:34" s="163" customFormat="1" x14ac:dyDescent="0.2">
      <c r="A66" s="297">
        <v>45</v>
      </c>
      <c r="B66" s="293" t="s">
        <v>9</v>
      </c>
      <c r="C66" s="45"/>
      <c r="D66" s="133">
        <f>Produksi!F72</f>
        <v>0</v>
      </c>
      <c r="E66" s="333">
        <f>Stok!L71</f>
        <v>0</v>
      </c>
      <c r="F66" s="134">
        <f>'Impor_Pangan Masuk'!F71+'ESTIMASI  Ekspor Impor'!J66</f>
        <v>0</v>
      </c>
      <c r="G66" s="134">
        <f>'Ekspor_Pangan Keluar'!F71+'ESTIMASI  Ekspor Impor'!K66</f>
        <v>0</v>
      </c>
      <c r="H66" s="134">
        <f t="shared" si="0"/>
        <v>0</v>
      </c>
      <c r="I66" s="134">
        <f>'Pemakaian Dalam Negeri REVISI'!E66</f>
        <v>0</v>
      </c>
      <c r="J66" s="134">
        <f>'Pemakaian Dalam Negeri REVISI'!F66</f>
        <v>0</v>
      </c>
      <c r="K66" s="134">
        <f>'Pemakaian Dalam Negeri REVISI'!G66</f>
        <v>0</v>
      </c>
      <c r="L66" s="134">
        <f>'Pemakaian Dalam Negeri REVISI'!H66</f>
        <v>0</v>
      </c>
      <c r="M66" s="134">
        <f>'Pemakaian Dalam Negeri REVISI'!I66</f>
        <v>0</v>
      </c>
      <c r="N66" s="134">
        <f>'Pemakaian Dalam Negeri REVISI'!J66</f>
        <v>0</v>
      </c>
      <c r="O66" s="126">
        <f t="shared" si="1"/>
        <v>0</v>
      </c>
      <c r="P66" s="126">
        <f t="shared" si="2"/>
        <v>0</v>
      </c>
      <c r="Q66" s="122">
        <f t="shared" si="3"/>
        <v>0</v>
      </c>
      <c r="R66" s="126">
        <f t="shared" si="4"/>
        <v>0</v>
      </c>
      <c r="S66" s="127">
        <f t="shared" si="5"/>
        <v>0</v>
      </c>
      <c r="T66" s="576">
        <v>100</v>
      </c>
      <c r="U66" s="575">
        <v>34</v>
      </c>
      <c r="V66" s="575">
        <v>15</v>
      </c>
      <c r="W66" s="574">
        <v>0.3</v>
      </c>
      <c r="X66" s="187"/>
      <c r="Y66" s="187"/>
      <c r="Z66" s="187"/>
      <c r="AA66" s="187"/>
      <c r="AB66" s="187"/>
      <c r="AC66" s="364"/>
      <c r="AE66" s="353"/>
      <c r="AF66" s="353"/>
      <c r="AG66" s="353"/>
      <c r="AH66" s="353"/>
    </row>
    <row r="67" spans="1:34" s="163" customFormat="1" x14ac:dyDescent="0.2">
      <c r="A67" s="297">
        <v>46</v>
      </c>
      <c r="B67" s="293" t="s">
        <v>10</v>
      </c>
      <c r="C67" s="45"/>
      <c r="D67" s="133">
        <f>Produksi!F73</f>
        <v>0</v>
      </c>
      <c r="E67" s="333">
        <f>Stok!L72</f>
        <v>0</v>
      </c>
      <c r="F67" s="134">
        <f>'Impor_Pangan Masuk'!F72+'ESTIMASI  Ekspor Impor'!J67</f>
        <v>0</v>
      </c>
      <c r="G67" s="134">
        <f>'Ekspor_Pangan Keluar'!F72+'ESTIMASI  Ekspor Impor'!K67</f>
        <v>0</v>
      </c>
      <c r="H67" s="134">
        <f t="shared" si="0"/>
        <v>0</v>
      </c>
      <c r="I67" s="134">
        <f>'Pemakaian Dalam Negeri REVISI'!E67</f>
        <v>0</v>
      </c>
      <c r="J67" s="134">
        <f>'Pemakaian Dalam Negeri REVISI'!F67</f>
        <v>0</v>
      </c>
      <c r="K67" s="134">
        <f>'Pemakaian Dalam Negeri REVISI'!G67</f>
        <v>0</v>
      </c>
      <c r="L67" s="134">
        <f>'Pemakaian Dalam Negeri REVISI'!H67</f>
        <v>0</v>
      </c>
      <c r="M67" s="134">
        <f>'Pemakaian Dalam Negeri REVISI'!I67</f>
        <v>0</v>
      </c>
      <c r="N67" s="134">
        <f>'Pemakaian Dalam Negeri REVISI'!J67</f>
        <v>0</v>
      </c>
      <c r="O67" s="126">
        <f t="shared" si="1"/>
        <v>0</v>
      </c>
      <c r="P67" s="126">
        <f t="shared" si="2"/>
        <v>0</v>
      </c>
      <c r="Q67" s="122">
        <f t="shared" si="3"/>
        <v>0</v>
      </c>
      <c r="R67" s="126">
        <f t="shared" si="4"/>
        <v>0</v>
      </c>
      <c r="S67" s="127">
        <f t="shared" si="5"/>
        <v>0</v>
      </c>
      <c r="T67" s="576">
        <v>100</v>
      </c>
      <c r="U67" s="575">
        <v>23</v>
      </c>
      <c r="V67" s="575">
        <v>1.7</v>
      </c>
      <c r="W67" s="574">
        <v>0.1</v>
      </c>
      <c r="X67" s="187"/>
      <c r="Y67" s="187"/>
      <c r="Z67" s="187"/>
      <c r="AA67" s="187"/>
      <c r="AB67" s="187"/>
      <c r="AC67" s="364"/>
      <c r="AE67" s="353"/>
      <c r="AF67" s="353"/>
      <c r="AG67" s="353"/>
      <c r="AH67" s="353"/>
    </row>
    <row r="68" spans="1:34" s="163" customFormat="1" ht="13.9" customHeight="1" x14ac:dyDescent="0.2">
      <c r="A68" s="297">
        <v>47</v>
      </c>
      <c r="B68" s="293" t="s">
        <v>11</v>
      </c>
      <c r="C68" s="45"/>
      <c r="D68" s="133">
        <f>Produksi!F74</f>
        <v>0</v>
      </c>
      <c r="E68" s="333">
        <f>Stok!L73</f>
        <v>0</v>
      </c>
      <c r="F68" s="134">
        <f>'Impor_Pangan Masuk'!F73+'ESTIMASI  Ekspor Impor'!J68</f>
        <v>0</v>
      </c>
      <c r="G68" s="134">
        <f>'Ekspor_Pangan Keluar'!F73+'ESTIMASI  Ekspor Impor'!K68</f>
        <v>0</v>
      </c>
      <c r="H68" s="134">
        <f t="shared" si="0"/>
        <v>0</v>
      </c>
      <c r="I68" s="134">
        <f>'Pemakaian Dalam Negeri REVISI'!E68</f>
        <v>0</v>
      </c>
      <c r="J68" s="134">
        <f>'Pemakaian Dalam Negeri REVISI'!F68</f>
        <v>0</v>
      </c>
      <c r="K68" s="134">
        <f>'Pemakaian Dalam Negeri REVISI'!G68</f>
        <v>0</v>
      </c>
      <c r="L68" s="134">
        <f>'Pemakaian Dalam Negeri REVISI'!H68</f>
        <v>0</v>
      </c>
      <c r="M68" s="134">
        <f>'Pemakaian Dalam Negeri REVISI'!I68</f>
        <v>0</v>
      </c>
      <c r="N68" s="134">
        <f>'Pemakaian Dalam Negeri REVISI'!J68</f>
        <v>0</v>
      </c>
      <c r="O68" s="126">
        <f t="shared" si="1"/>
        <v>0</v>
      </c>
      <c r="P68" s="126">
        <f t="shared" si="2"/>
        <v>0</v>
      </c>
      <c r="Q68" s="122">
        <f t="shared" si="3"/>
        <v>0</v>
      </c>
      <c r="R68" s="126">
        <f t="shared" si="4"/>
        <v>0</v>
      </c>
      <c r="S68" s="127">
        <f t="shared" si="5"/>
        <v>0</v>
      </c>
      <c r="T68" s="576">
        <v>100</v>
      </c>
      <c r="U68" s="575">
        <v>46</v>
      </c>
      <c r="V68" s="575">
        <v>0.9</v>
      </c>
      <c r="W68" s="574">
        <v>0.4</v>
      </c>
      <c r="X68" s="187"/>
      <c r="Y68" s="187"/>
      <c r="Z68" s="187"/>
      <c r="AA68" s="187"/>
      <c r="AB68" s="187"/>
      <c r="AC68" s="364"/>
      <c r="AE68" s="353"/>
      <c r="AF68" s="353"/>
      <c r="AG68" s="353"/>
      <c r="AH68" s="353"/>
    </row>
    <row r="69" spans="1:34" ht="14.1" customHeight="1" x14ac:dyDescent="0.2">
      <c r="A69" s="297">
        <v>48</v>
      </c>
      <c r="B69" s="293" t="s">
        <v>12</v>
      </c>
      <c r="C69" s="45"/>
      <c r="D69" s="133">
        <f>Produksi!F75</f>
        <v>0</v>
      </c>
      <c r="E69" s="333">
        <f>Stok!L74</f>
        <v>0</v>
      </c>
      <c r="F69" s="134">
        <f>'Impor_Pangan Masuk'!F74+'ESTIMASI  Ekspor Impor'!J69</f>
        <v>0</v>
      </c>
      <c r="G69" s="134">
        <f>'Ekspor_Pangan Keluar'!F74+'ESTIMASI  Ekspor Impor'!K69</f>
        <v>0</v>
      </c>
      <c r="H69" s="134">
        <f t="shared" si="0"/>
        <v>0</v>
      </c>
      <c r="I69" s="134">
        <f>'Pemakaian Dalam Negeri REVISI'!E69</f>
        <v>0</v>
      </c>
      <c r="J69" s="134">
        <f>'Pemakaian Dalam Negeri REVISI'!F69</f>
        <v>0</v>
      </c>
      <c r="K69" s="134">
        <f>'Pemakaian Dalam Negeri REVISI'!G69</f>
        <v>0</v>
      </c>
      <c r="L69" s="134">
        <f>'Pemakaian Dalam Negeri REVISI'!H69</f>
        <v>0</v>
      </c>
      <c r="M69" s="134">
        <f>'Pemakaian Dalam Negeri REVISI'!I69</f>
        <v>0</v>
      </c>
      <c r="N69" s="134">
        <f>'Pemakaian Dalam Negeri REVISI'!J69</f>
        <v>0</v>
      </c>
      <c r="O69" s="126">
        <f t="shared" si="1"/>
        <v>0</v>
      </c>
      <c r="P69" s="126">
        <f t="shared" si="2"/>
        <v>0</v>
      </c>
      <c r="Q69" s="122">
        <f t="shared" si="3"/>
        <v>0</v>
      </c>
      <c r="R69" s="126">
        <f t="shared" si="4"/>
        <v>0</v>
      </c>
      <c r="S69" s="127">
        <f t="shared" si="5"/>
        <v>0</v>
      </c>
      <c r="T69" s="576">
        <v>100</v>
      </c>
      <c r="U69" s="575">
        <v>78</v>
      </c>
      <c r="V69" s="575">
        <v>0.8</v>
      </c>
      <c r="W69" s="574">
        <v>0.4</v>
      </c>
      <c r="X69" s="187"/>
      <c r="Y69" s="187"/>
      <c r="Z69" s="187"/>
      <c r="AA69" s="187"/>
      <c r="AB69" s="187"/>
      <c r="AC69" s="364"/>
      <c r="AE69" s="353"/>
      <c r="AF69" s="353"/>
      <c r="AG69" s="353"/>
      <c r="AH69" s="353"/>
    </row>
    <row r="70" spans="1:34" ht="14.1" customHeight="1" x14ac:dyDescent="0.2">
      <c r="A70" s="297">
        <v>49</v>
      </c>
      <c r="B70" s="293" t="s">
        <v>13</v>
      </c>
      <c r="C70" s="45"/>
      <c r="D70" s="133">
        <f>Produksi!F76</f>
        <v>58</v>
      </c>
      <c r="E70" s="333">
        <f>Stok!L75</f>
        <v>0</v>
      </c>
      <c r="F70" s="134">
        <f>'Impor_Pangan Masuk'!F75+'ESTIMASI  Ekspor Impor'!J70</f>
        <v>68</v>
      </c>
      <c r="G70" s="134">
        <f>'Ekspor_Pangan Keluar'!F75+'ESTIMASI  Ekspor Impor'!K70</f>
        <v>0</v>
      </c>
      <c r="H70" s="134">
        <f t="shared" si="0"/>
        <v>126</v>
      </c>
      <c r="I70" s="134">
        <f>'Pemakaian Dalam Negeri REVISI'!E70</f>
        <v>0</v>
      </c>
      <c r="J70" s="134">
        <f>'Pemakaian Dalam Negeri REVISI'!F70</f>
        <v>0</v>
      </c>
      <c r="K70" s="134">
        <f>'Pemakaian Dalam Negeri REVISI'!G70</f>
        <v>0</v>
      </c>
      <c r="L70" s="134">
        <f>'Pemakaian Dalam Negeri REVISI'!H70</f>
        <v>1.3986000000000001</v>
      </c>
      <c r="M70" s="134">
        <f>'Pemakaian Dalam Negeri REVISI'!I70</f>
        <v>0</v>
      </c>
      <c r="N70" s="134">
        <f>'Pemakaian Dalam Negeri REVISI'!J70</f>
        <v>124.6014</v>
      </c>
      <c r="O70" s="126">
        <f t="shared" si="1"/>
        <v>0.50221236976280204</v>
      </c>
      <c r="P70" s="126">
        <f t="shared" si="2"/>
        <v>1.3759243007200055</v>
      </c>
      <c r="Q70" s="122">
        <f t="shared" si="3"/>
        <v>0.96314701050400386</v>
      </c>
      <c r="R70" s="126">
        <f t="shared" si="4"/>
        <v>1.1007394405760046E-2</v>
      </c>
      <c r="S70" s="127">
        <f t="shared" si="5"/>
        <v>4.1277729021600169E-3</v>
      </c>
      <c r="T70" s="576">
        <v>100</v>
      </c>
      <c r="U70" s="575">
        <v>70</v>
      </c>
      <c r="V70" s="575">
        <v>0.8</v>
      </c>
      <c r="W70" s="574">
        <v>0.3</v>
      </c>
      <c r="X70" s="187"/>
      <c r="Y70" s="187"/>
      <c r="Z70" s="187"/>
      <c r="AA70" s="187"/>
      <c r="AB70" s="187"/>
      <c r="AC70" s="364"/>
      <c r="AE70" s="353"/>
      <c r="AF70" s="353"/>
      <c r="AG70" s="353"/>
      <c r="AH70" s="353"/>
    </row>
    <row r="71" spans="1:34" ht="14.1" customHeight="1" x14ac:dyDescent="0.2">
      <c r="A71" s="297">
        <v>50</v>
      </c>
      <c r="B71" s="293" t="s">
        <v>14</v>
      </c>
      <c r="C71" s="45"/>
      <c r="D71" s="133">
        <f>Produksi!F77</f>
        <v>0</v>
      </c>
      <c r="E71" s="333">
        <f>Stok!L76</f>
        <v>0</v>
      </c>
      <c r="F71" s="134">
        <f>'Impor_Pangan Masuk'!F76+'ESTIMASI  Ekspor Impor'!J71</f>
        <v>0</v>
      </c>
      <c r="G71" s="134">
        <f>'Ekspor_Pangan Keluar'!F76+'ESTIMASI  Ekspor Impor'!K71</f>
        <v>0</v>
      </c>
      <c r="H71" s="134">
        <f t="shared" si="0"/>
        <v>0</v>
      </c>
      <c r="I71" s="134">
        <f>'Pemakaian Dalam Negeri REVISI'!E71</f>
        <v>0</v>
      </c>
      <c r="J71" s="134">
        <f>'Pemakaian Dalam Negeri REVISI'!F71</f>
        <v>0</v>
      </c>
      <c r="K71" s="134">
        <f>'Pemakaian Dalam Negeri REVISI'!G71</f>
        <v>0</v>
      </c>
      <c r="L71" s="134">
        <f>'Pemakaian Dalam Negeri REVISI'!H71</f>
        <v>0</v>
      </c>
      <c r="M71" s="134">
        <f>'Pemakaian Dalam Negeri REVISI'!I71</f>
        <v>0</v>
      </c>
      <c r="N71" s="134">
        <f>'Pemakaian Dalam Negeri REVISI'!J71</f>
        <v>0</v>
      </c>
      <c r="O71" s="126">
        <f t="shared" si="1"/>
        <v>0</v>
      </c>
      <c r="P71" s="126">
        <f t="shared" si="2"/>
        <v>0</v>
      </c>
      <c r="Q71" s="122">
        <f t="shared" si="3"/>
        <v>0</v>
      </c>
      <c r="R71" s="126">
        <f t="shared" si="4"/>
        <v>0</v>
      </c>
      <c r="S71" s="127">
        <f t="shared" si="5"/>
        <v>0</v>
      </c>
      <c r="T71" s="576">
        <v>100</v>
      </c>
      <c r="U71" s="575">
        <v>77</v>
      </c>
      <c r="V71" s="575">
        <v>0.7</v>
      </c>
      <c r="W71" s="574">
        <v>0.6</v>
      </c>
      <c r="X71" s="187"/>
      <c r="Y71" s="187"/>
      <c r="Z71" s="187"/>
      <c r="AA71" s="187"/>
      <c r="AB71" s="187"/>
      <c r="AC71" s="364"/>
      <c r="AE71" s="353"/>
      <c r="AF71" s="353"/>
      <c r="AG71" s="353"/>
      <c r="AH71" s="353"/>
    </row>
    <row r="72" spans="1:34" ht="14.1" customHeight="1" x14ac:dyDescent="0.2">
      <c r="A72" s="297">
        <v>51</v>
      </c>
      <c r="B72" s="293" t="s">
        <v>15</v>
      </c>
      <c r="C72" s="45"/>
      <c r="D72" s="133">
        <f>Produksi!F78</f>
        <v>23</v>
      </c>
      <c r="E72" s="333">
        <f>Stok!L77</f>
        <v>0</v>
      </c>
      <c r="F72" s="134">
        <f>'Impor_Pangan Masuk'!F77+'ESTIMASI  Ekspor Impor'!J72</f>
        <v>56</v>
      </c>
      <c r="G72" s="134">
        <f>'Ekspor_Pangan Keluar'!F77+'ESTIMASI  Ekspor Impor'!K72</f>
        <v>0</v>
      </c>
      <c r="H72" s="134">
        <f t="shared" si="0"/>
        <v>79</v>
      </c>
      <c r="I72" s="134">
        <f>'Pemakaian Dalam Negeri REVISI'!E72</f>
        <v>0</v>
      </c>
      <c r="J72" s="134">
        <f>'Pemakaian Dalam Negeri REVISI'!F72</f>
        <v>0</v>
      </c>
      <c r="K72" s="134">
        <f>'Pemakaian Dalam Negeri REVISI'!G72</f>
        <v>0</v>
      </c>
      <c r="L72" s="134">
        <f>'Pemakaian Dalam Negeri REVISI'!H72</f>
        <v>0.87690000000000001</v>
      </c>
      <c r="M72" s="134">
        <f>'Pemakaian Dalam Negeri REVISI'!I72</f>
        <v>0</v>
      </c>
      <c r="N72" s="134">
        <f>'Pemakaian Dalam Negeri REVISI'!J72</f>
        <v>78.123099999999994</v>
      </c>
      <c r="O72" s="126">
        <f t="shared" si="1"/>
        <v>0.31487918421636002</v>
      </c>
      <c r="P72" s="126">
        <f t="shared" si="2"/>
        <v>0.86268269648317808</v>
      </c>
      <c r="Q72" s="122">
        <f t="shared" si="3"/>
        <v>0.38373636034290604</v>
      </c>
      <c r="R72" s="126">
        <f t="shared" si="4"/>
        <v>7.5538653610808274E-3</v>
      </c>
      <c r="S72" s="127">
        <f t="shared" si="5"/>
        <v>1.2388339192172556E-2</v>
      </c>
      <c r="T72" s="385">
        <v>70.05</v>
      </c>
      <c r="U72" s="351">
        <v>63.5</v>
      </c>
      <c r="V72" s="351">
        <v>1.25</v>
      </c>
      <c r="W72" s="386">
        <v>2.0499999999999998</v>
      </c>
      <c r="X72" s="187"/>
      <c r="Y72" s="187"/>
      <c r="Z72" s="187"/>
      <c r="AA72" s="187"/>
      <c r="AB72" s="187"/>
      <c r="AC72" s="364"/>
      <c r="AD72" s="120" t="s">
        <v>533</v>
      </c>
      <c r="AE72" s="352">
        <v>70.05</v>
      </c>
      <c r="AF72" s="352">
        <v>63.5</v>
      </c>
      <c r="AG72" s="352">
        <v>1.25</v>
      </c>
      <c r="AH72" s="352">
        <v>2.0499999999999998</v>
      </c>
    </row>
    <row r="73" spans="1:34" ht="14.1" customHeight="1" x14ac:dyDescent="0.2">
      <c r="A73" s="297">
        <v>52</v>
      </c>
      <c r="B73" s="349" t="s">
        <v>16</v>
      </c>
      <c r="C73" s="45"/>
      <c r="D73" s="133">
        <f>Produksi!F79</f>
        <v>125</v>
      </c>
      <c r="E73" s="333">
        <f>Stok!L78</f>
        <v>0</v>
      </c>
      <c r="F73" s="134">
        <f>'Impor_Pangan Masuk'!F78+'ESTIMASI  Ekspor Impor'!J73</f>
        <v>0</v>
      </c>
      <c r="G73" s="134">
        <f>'Ekspor_Pangan Keluar'!F78+'ESTIMASI  Ekspor Impor'!K73</f>
        <v>0</v>
      </c>
      <c r="H73" s="134">
        <f t="shared" si="0"/>
        <v>125</v>
      </c>
      <c r="I73" s="134">
        <f>'Pemakaian Dalam Negeri REVISI'!E73</f>
        <v>0</v>
      </c>
      <c r="J73" s="134">
        <f>'Pemakaian Dalam Negeri REVISI'!F73</f>
        <v>0</v>
      </c>
      <c r="K73" s="134">
        <f>'Pemakaian Dalam Negeri REVISI'!G73</f>
        <v>0</v>
      </c>
      <c r="L73" s="134">
        <f>'Pemakaian Dalam Negeri REVISI'!H73</f>
        <v>1.3875</v>
      </c>
      <c r="M73" s="134">
        <f>'Pemakaian Dalam Negeri REVISI'!I73</f>
        <v>0</v>
      </c>
      <c r="N73" s="134">
        <f>'Pemakaian Dalam Negeri REVISI'!J73</f>
        <v>123.6125</v>
      </c>
      <c r="O73" s="126">
        <f t="shared" si="1"/>
        <v>0.4982265573043671</v>
      </c>
      <c r="P73" s="126">
        <f t="shared" si="2"/>
        <v>1.365004266587307</v>
      </c>
      <c r="Q73" s="122">
        <f t="shared" si="3"/>
        <v>0.45645742674679546</v>
      </c>
      <c r="R73" s="126">
        <f t="shared" si="4"/>
        <v>5.1870162130317667E-3</v>
      </c>
      <c r="S73" s="127">
        <f t="shared" si="5"/>
        <v>2.0748064852127066E-3</v>
      </c>
      <c r="T73" s="387">
        <v>76</v>
      </c>
      <c r="U73" s="388">
        <v>44</v>
      </c>
      <c r="V73" s="388">
        <v>0.5</v>
      </c>
      <c r="W73" s="389">
        <v>0.2</v>
      </c>
      <c r="X73" s="187">
        <v>0</v>
      </c>
      <c r="Y73" s="187">
        <v>0.01</v>
      </c>
      <c r="Z73" s="187">
        <v>19.7</v>
      </c>
      <c r="AA73" s="187"/>
      <c r="AB73" s="187"/>
      <c r="AC73" s="364"/>
      <c r="AD73" s="120" t="s">
        <v>533</v>
      </c>
      <c r="AE73" s="354">
        <v>76</v>
      </c>
      <c r="AF73" s="354">
        <v>44</v>
      </c>
      <c r="AG73" s="354">
        <v>0.5</v>
      </c>
      <c r="AH73" s="354">
        <v>0.2</v>
      </c>
    </row>
    <row r="74" spans="1:34" ht="14.1" customHeight="1" x14ac:dyDescent="0.2">
      <c r="A74" s="297">
        <v>53</v>
      </c>
      <c r="B74" s="349" t="s">
        <v>17</v>
      </c>
      <c r="C74" s="45"/>
      <c r="D74" s="133">
        <f>Produksi!F80</f>
        <v>0</v>
      </c>
      <c r="E74" s="333">
        <f>Stok!L79</f>
        <v>0</v>
      </c>
      <c r="F74" s="134">
        <f>'Impor_Pangan Masuk'!F79+'ESTIMASI  Ekspor Impor'!J74</f>
        <v>0</v>
      </c>
      <c r="G74" s="134">
        <f>'Ekspor_Pangan Keluar'!F79+'ESTIMASI  Ekspor Impor'!K74</f>
        <v>0</v>
      </c>
      <c r="H74" s="134">
        <f t="shared" si="0"/>
        <v>0</v>
      </c>
      <c r="I74" s="134">
        <f>'Pemakaian Dalam Negeri REVISI'!E74</f>
        <v>0</v>
      </c>
      <c r="J74" s="134">
        <f>'Pemakaian Dalam Negeri REVISI'!F74</f>
        <v>0</v>
      </c>
      <c r="K74" s="134">
        <f>'Pemakaian Dalam Negeri REVISI'!G74</f>
        <v>0</v>
      </c>
      <c r="L74" s="134">
        <f>'Pemakaian Dalam Negeri REVISI'!H74</f>
        <v>0</v>
      </c>
      <c r="M74" s="134">
        <f>'Pemakaian Dalam Negeri REVISI'!I74</f>
        <v>0</v>
      </c>
      <c r="N74" s="134">
        <f>'Pemakaian Dalam Negeri REVISI'!J74</f>
        <v>0</v>
      </c>
      <c r="O74" s="126">
        <f t="shared" si="1"/>
        <v>0</v>
      </c>
      <c r="P74" s="126">
        <f t="shared" si="2"/>
        <v>0</v>
      </c>
      <c r="Q74" s="122">
        <f t="shared" si="3"/>
        <v>0</v>
      </c>
      <c r="R74" s="126">
        <f t="shared" si="4"/>
        <v>0</v>
      </c>
      <c r="S74" s="127">
        <f t="shared" si="5"/>
        <v>0</v>
      </c>
      <c r="T74" s="576">
        <v>100</v>
      </c>
      <c r="U74" s="575">
        <v>83</v>
      </c>
      <c r="V74" s="575">
        <v>1.7</v>
      </c>
      <c r="W74" s="574">
        <v>1.2</v>
      </c>
      <c r="X74" s="187"/>
      <c r="Y74" s="187"/>
      <c r="Z74" s="187"/>
      <c r="AA74" s="187"/>
      <c r="AB74" s="187"/>
      <c r="AC74" s="364"/>
      <c r="AE74" s="355"/>
      <c r="AF74" s="355"/>
      <c r="AG74" s="355"/>
      <c r="AH74" s="355"/>
    </row>
    <row r="75" spans="1:34" ht="14.1" customHeight="1" x14ac:dyDescent="0.2">
      <c r="A75" s="297">
        <v>54</v>
      </c>
      <c r="B75" s="293" t="s">
        <v>18</v>
      </c>
      <c r="C75" s="45"/>
      <c r="D75" s="133">
        <f>Produksi!F81</f>
        <v>0</v>
      </c>
      <c r="E75" s="333">
        <f>Stok!L80</f>
        <v>0</v>
      </c>
      <c r="F75" s="134">
        <f>'Impor_Pangan Masuk'!F80+'ESTIMASI  Ekspor Impor'!J75</f>
        <v>382.00386447332943</v>
      </c>
      <c r="G75" s="134">
        <f>'Ekspor_Pangan Keluar'!F80+'ESTIMASI  Ekspor Impor'!K75</f>
        <v>0</v>
      </c>
      <c r="H75" s="134">
        <f t="shared" si="0"/>
        <v>382.00386447332943</v>
      </c>
      <c r="I75" s="134">
        <f>'Pemakaian Dalam Negeri REVISI'!E75</f>
        <v>0</v>
      </c>
      <c r="J75" s="134">
        <f>'Pemakaian Dalam Negeri REVISI'!F75</f>
        <v>0</v>
      </c>
      <c r="K75" s="134">
        <f>'Pemakaian Dalam Negeri REVISI'!G75</f>
        <v>0</v>
      </c>
      <c r="L75" s="134">
        <f>'Pemakaian Dalam Negeri REVISI'!H75</f>
        <v>4.2402428956539566</v>
      </c>
      <c r="M75" s="134">
        <f>'Pemakaian Dalam Negeri REVISI'!I75</f>
        <v>0</v>
      </c>
      <c r="N75" s="134">
        <f>'Pemakaian Dalam Negeri REVISI'!J75</f>
        <v>377.76362157767545</v>
      </c>
      <c r="O75" s="126">
        <f t="shared" si="1"/>
        <v>1.5225957621880875</v>
      </c>
      <c r="P75" s="126">
        <f t="shared" si="2"/>
        <v>4.171495238871473</v>
      </c>
      <c r="Q75" s="122">
        <f t="shared" si="3"/>
        <v>2.7837136458904008</v>
      </c>
      <c r="R75" s="126">
        <f t="shared" si="4"/>
        <v>5.2753370559266932E-2</v>
      </c>
      <c r="S75" s="127">
        <f t="shared" si="5"/>
        <v>2.8002498808629525E-2</v>
      </c>
      <c r="T75" s="576">
        <v>100</v>
      </c>
      <c r="U75" s="575">
        <f>AVERAGE(U36:U74)</f>
        <v>66.731794871794875</v>
      </c>
      <c r="V75" s="575">
        <f>AVERAGE(V36:V74)</f>
        <v>1.2646153846153847</v>
      </c>
      <c r="W75" s="574">
        <f>AVERAGE(W36:W74)</f>
        <v>0.67128205128205121</v>
      </c>
      <c r="X75" s="187"/>
      <c r="Y75" s="187"/>
      <c r="Z75" s="187"/>
      <c r="AA75" s="187"/>
      <c r="AB75" s="187"/>
      <c r="AC75" s="364"/>
      <c r="AE75" s="351"/>
      <c r="AF75" s="351"/>
      <c r="AG75" s="351"/>
      <c r="AH75" s="351"/>
    </row>
    <row r="76" spans="1:34" ht="14.1" customHeight="1" x14ac:dyDescent="0.2">
      <c r="A76" s="297"/>
      <c r="B76" s="282"/>
      <c r="C76" s="293"/>
      <c r="D76" s="133"/>
      <c r="E76" s="333"/>
      <c r="F76" s="134"/>
      <c r="G76" s="134"/>
      <c r="H76" s="134"/>
      <c r="I76" s="134"/>
      <c r="J76" s="134"/>
      <c r="K76" s="134"/>
      <c r="L76" s="134"/>
      <c r="M76" s="134"/>
      <c r="N76" s="134"/>
      <c r="O76" s="126"/>
      <c r="P76" s="126"/>
      <c r="Q76" s="122"/>
      <c r="R76" s="126"/>
      <c r="S76" s="127"/>
      <c r="T76" s="576"/>
      <c r="U76" s="575"/>
      <c r="V76" s="575"/>
      <c r="W76" s="574"/>
      <c r="X76" s="187"/>
      <c r="Y76" s="187"/>
      <c r="Z76" s="187"/>
      <c r="AA76" s="187"/>
      <c r="AB76" s="187"/>
      <c r="AC76" s="364"/>
      <c r="AE76" s="120"/>
      <c r="AF76" s="120"/>
    </row>
    <row r="77" spans="1:34" ht="14.1" customHeight="1" thickBot="1" x14ac:dyDescent="0.25">
      <c r="A77" s="295" t="s">
        <v>19</v>
      </c>
      <c r="B77" s="293"/>
      <c r="C77" s="282"/>
      <c r="D77" s="133"/>
      <c r="E77" s="333"/>
      <c r="F77" s="134"/>
      <c r="G77" s="134"/>
      <c r="H77" s="134"/>
      <c r="I77" s="134"/>
      <c r="J77" s="134"/>
      <c r="K77" s="134"/>
      <c r="L77" s="134"/>
      <c r="M77" s="134"/>
      <c r="N77" s="134"/>
      <c r="O77" s="126"/>
      <c r="P77" s="126"/>
      <c r="Q77" s="567">
        <f>SUM(Q78:Q110)</f>
        <v>56.333627526766335</v>
      </c>
      <c r="R77" s="340">
        <f>SUM(R78:R110)</f>
        <v>2.5213572524429226</v>
      </c>
      <c r="S77" s="340">
        <f>SUM(S78:S110)</f>
        <v>0.54068180694563062</v>
      </c>
      <c r="T77" s="576"/>
      <c r="U77" s="575"/>
      <c r="V77" s="575"/>
      <c r="W77" s="574"/>
      <c r="X77" s="187"/>
      <c r="Y77" s="187"/>
      <c r="Z77" s="187"/>
      <c r="AA77" s="187"/>
      <c r="AB77" s="187"/>
      <c r="AC77" s="364"/>
      <c r="AE77" s="120"/>
      <c r="AF77" s="120"/>
    </row>
    <row r="78" spans="1:34" ht="14.1" customHeight="1" x14ac:dyDescent="0.2">
      <c r="A78" s="297">
        <v>55</v>
      </c>
      <c r="B78" s="282" t="s">
        <v>94</v>
      </c>
      <c r="C78" s="45"/>
      <c r="D78" s="133">
        <f>Produksi!F84</f>
        <v>0.39504</v>
      </c>
      <c r="E78" s="333">
        <f>Stok!L83</f>
        <v>0</v>
      </c>
      <c r="F78" s="134">
        <f>'Impor_Pangan Masuk'!F83+'ESTIMASI  Ekspor Impor'!J78</f>
        <v>1465</v>
      </c>
      <c r="G78" s="134">
        <f>'Ekspor_Pangan Keluar'!F83+'ESTIMASI  Ekspor Impor'!K78</f>
        <v>0</v>
      </c>
      <c r="H78" s="134">
        <f t="shared" ref="H78:H110" si="6">D78-E78+F78-G78</f>
        <v>1465.3950400000001</v>
      </c>
      <c r="I78" s="134">
        <f>'Pemakaian Dalam Negeri REVISI'!E78</f>
        <v>0</v>
      </c>
      <c r="J78" s="134">
        <f>'Pemakaian Dalam Negeri REVISI'!F78</f>
        <v>0</v>
      </c>
      <c r="K78" s="134">
        <f>'Pemakaian Dalam Negeri REVISI'!G78</f>
        <v>0</v>
      </c>
      <c r="L78" s="134">
        <f>'Pemakaian Dalam Negeri REVISI'!H78</f>
        <v>31.799072368000004</v>
      </c>
      <c r="M78" s="134">
        <f>'Pemakaian Dalam Negeri REVISI'!I78</f>
        <v>0</v>
      </c>
      <c r="N78" s="134">
        <f>'Pemakaian Dalam Negeri REVISI'!J78</f>
        <v>1433.5959676320001</v>
      </c>
      <c r="O78" s="126">
        <f t="shared" ref="O78:O110" si="7">(N78+K78)/$Q$4*1000</f>
        <v>5.7781824938312409</v>
      </c>
      <c r="P78" s="126">
        <f t="shared" ref="P78:P110" si="8">O78/365*1000</f>
        <v>15.830636969400659</v>
      </c>
      <c r="Q78" s="568">
        <f t="shared" ref="Q78:Q110" si="9">P78/100*T78/100*U78</f>
        <v>5.0008982186336679</v>
      </c>
      <c r="R78" s="177">
        <f t="shared" ref="R78:R110" si="10">P78/100*T78/100*V78</f>
        <v>0.19234223917821802</v>
      </c>
      <c r="S78" s="178">
        <f t="shared" ref="S78:S110" si="11">P78/100*T78/100*W78</f>
        <v>4.2742719817381779E-2</v>
      </c>
      <c r="T78" s="576">
        <v>90</v>
      </c>
      <c r="U78" s="575">
        <v>35.1</v>
      </c>
      <c r="V78" s="575">
        <v>1.35</v>
      </c>
      <c r="W78" s="574">
        <v>0.3</v>
      </c>
      <c r="X78" s="187">
        <v>0</v>
      </c>
      <c r="Y78" s="187">
        <v>0.03</v>
      </c>
      <c r="Z78" s="187">
        <v>2</v>
      </c>
      <c r="AA78" s="187">
        <v>36</v>
      </c>
      <c r="AB78" s="187">
        <v>40</v>
      </c>
      <c r="AC78" s="364">
        <v>0.8</v>
      </c>
      <c r="AE78" s="56">
        <v>90</v>
      </c>
      <c r="AF78" s="56">
        <v>46</v>
      </c>
      <c r="AG78" s="56">
        <v>1.5</v>
      </c>
      <c r="AH78" s="56">
        <v>0.3</v>
      </c>
    </row>
    <row r="79" spans="1:34" ht="14.1" customHeight="1" x14ac:dyDescent="0.2">
      <c r="A79" s="297">
        <v>56</v>
      </c>
      <c r="B79" s="293" t="s">
        <v>110</v>
      </c>
      <c r="C79" s="45"/>
      <c r="D79" s="133">
        <f>Produksi!F85</f>
        <v>0</v>
      </c>
      <c r="E79" s="333">
        <f>Stok!L84</f>
        <v>0</v>
      </c>
      <c r="F79" s="134">
        <f>'Impor_Pangan Masuk'!F84+'ESTIMASI  Ekspor Impor'!J79</f>
        <v>430</v>
      </c>
      <c r="G79" s="134">
        <f>'Ekspor_Pangan Keluar'!F84+'ESTIMASI  Ekspor Impor'!K79</f>
        <v>0</v>
      </c>
      <c r="H79" s="134">
        <f t="shared" si="6"/>
        <v>430</v>
      </c>
      <c r="I79" s="134">
        <f>'Pemakaian Dalam Negeri REVISI'!E79</f>
        <v>0</v>
      </c>
      <c r="J79" s="134">
        <f>'Pemakaian Dalam Negeri REVISI'!F79</f>
        <v>1.0319999999999998</v>
      </c>
      <c r="K79" s="134">
        <f>'Pemakaian Dalam Negeri REVISI'!G79</f>
        <v>0</v>
      </c>
      <c r="L79" s="134">
        <f>'Pemakaian Dalam Negeri REVISI'!H79</f>
        <v>8.6000000000000007E-2</v>
      </c>
      <c r="M79" s="134">
        <f>'Pemakaian Dalam Negeri REVISI'!I79</f>
        <v>0</v>
      </c>
      <c r="N79" s="134">
        <f>'Pemakaian Dalam Negeri REVISI'!J79</f>
        <v>428.88200000000001</v>
      </c>
      <c r="O79" s="126">
        <f t="shared" si="7"/>
        <v>1.7286310231555189</v>
      </c>
      <c r="P79" s="126">
        <f t="shared" si="8"/>
        <v>4.7359754059055312</v>
      </c>
      <c r="Q79" s="122">
        <f t="shared" si="9"/>
        <v>3.484162386616581</v>
      </c>
      <c r="R79" s="126">
        <f t="shared" si="10"/>
        <v>0.16503927094499596</v>
      </c>
      <c r="S79" s="127">
        <f t="shared" si="11"/>
        <v>8.3353167143937357E-3</v>
      </c>
      <c r="T79" s="576">
        <v>88</v>
      </c>
      <c r="U79" s="575">
        <v>83.6</v>
      </c>
      <c r="V79" s="575">
        <v>3.96</v>
      </c>
      <c r="W79" s="574">
        <v>0.2</v>
      </c>
      <c r="X79" s="187"/>
      <c r="Y79" s="187"/>
      <c r="Z79" s="187"/>
      <c r="AA79" s="187"/>
      <c r="AB79" s="187"/>
      <c r="AC79" s="364"/>
      <c r="AE79" s="56"/>
      <c r="AF79" s="56"/>
      <c r="AG79" s="56"/>
      <c r="AH79" s="56"/>
    </row>
    <row r="80" spans="1:34" ht="14.1" customHeight="1" x14ac:dyDescent="0.2">
      <c r="A80" s="297">
        <v>57</v>
      </c>
      <c r="B80" s="293" t="s">
        <v>27</v>
      </c>
      <c r="C80" s="45"/>
      <c r="D80" s="133">
        <f>Produksi!F86</f>
        <v>0</v>
      </c>
      <c r="E80" s="333">
        <f>Stok!L85</f>
        <v>0</v>
      </c>
      <c r="F80" s="134">
        <f>'Impor_Pangan Masuk'!F87+'ESTIMASI  Ekspor Impor'!J80</f>
        <v>0</v>
      </c>
      <c r="G80" s="134">
        <f>'Ekspor_Pangan Keluar'!F87+'ESTIMASI  Ekspor Impor'!K80</f>
        <v>0</v>
      </c>
      <c r="H80" s="134">
        <f t="shared" si="6"/>
        <v>0</v>
      </c>
      <c r="I80" s="134">
        <f>'Pemakaian Dalam Negeri REVISI'!E80</f>
        <v>0</v>
      </c>
      <c r="J80" s="134">
        <f>'Pemakaian Dalam Negeri REVISI'!F80</f>
        <v>0</v>
      </c>
      <c r="K80" s="134">
        <f>'Pemakaian Dalam Negeri REVISI'!G80</f>
        <v>0</v>
      </c>
      <c r="L80" s="134">
        <f>'Pemakaian Dalam Negeri REVISI'!H80</f>
        <v>0</v>
      </c>
      <c r="M80" s="134">
        <f>'Pemakaian Dalam Negeri REVISI'!I80</f>
        <v>0</v>
      </c>
      <c r="N80" s="134">
        <f>'Pemakaian Dalam Negeri REVISI'!J80</f>
        <v>0</v>
      </c>
      <c r="O80" s="126">
        <f t="shared" si="7"/>
        <v>0</v>
      </c>
      <c r="P80" s="126">
        <f t="shared" si="8"/>
        <v>0</v>
      </c>
      <c r="Q80" s="122">
        <f t="shared" si="9"/>
        <v>0</v>
      </c>
      <c r="R80" s="126">
        <f t="shared" si="10"/>
        <v>0</v>
      </c>
      <c r="S80" s="127">
        <f t="shared" si="11"/>
        <v>0</v>
      </c>
      <c r="T80" s="385">
        <v>87.5</v>
      </c>
      <c r="U80" s="351">
        <v>43</v>
      </c>
      <c r="V80" s="351">
        <v>1.4</v>
      </c>
      <c r="W80" s="386">
        <v>0.2</v>
      </c>
      <c r="X80" s="187"/>
      <c r="Y80" s="187"/>
      <c r="Z80" s="187"/>
      <c r="AA80" s="187"/>
      <c r="AB80" s="187"/>
      <c r="AC80" s="364"/>
      <c r="AE80" s="56"/>
      <c r="AF80" s="56"/>
      <c r="AG80" s="56"/>
      <c r="AH80" s="56"/>
    </row>
    <row r="81" spans="1:34" s="163" customFormat="1" x14ac:dyDescent="0.2">
      <c r="A81" s="297">
        <v>58</v>
      </c>
      <c r="B81" s="293" t="s">
        <v>95</v>
      </c>
      <c r="C81" s="45"/>
      <c r="D81" s="133">
        <f>Produksi!F87</f>
        <v>7.4</v>
      </c>
      <c r="E81" s="333">
        <f>Stok!L86</f>
        <v>0</v>
      </c>
      <c r="F81" s="134">
        <f>'Impor_Pangan Masuk'!F88+'ESTIMASI  Ekspor Impor'!J81</f>
        <v>0</v>
      </c>
      <c r="G81" s="134">
        <f>'Ekspor_Pangan Keluar'!F88+'ESTIMASI  Ekspor Impor'!K81</f>
        <v>0</v>
      </c>
      <c r="H81" s="134">
        <f t="shared" si="6"/>
        <v>7.4</v>
      </c>
      <c r="I81" s="134">
        <f>'Pemakaian Dalam Negeri REVISI'!E81</f>
        <v>0</v>
      </c>
      <c r="J81" s="134">
        <f>'Pemakaian Dalam Negeri REVISI'!F81</f>
        <v>5.2540000000000003E-2</v>
      </c>
      <c r="K81" s="134">
        <f>'Pemakaian Dalam Negeri REVISI'!G81</f>
        <v>0</v>
      </c>
      <c r="L81" s="134">
        <f>'Pemakaian Dalam Negeri REVISI'!H81</f>
        <v>0.12580000000000002</v>
      </c>
      <c r="M81" s="134">
        <f>'Pemakaian Dalam Negeri REVISI'!I81</f>
        <v>0</v>
      </c>
      <c r="N81" s="134">
        <f>'Pemakaian Dalam Negeri REVISI'!J81</f>
        <v>7.2216600000000009</v>
      </c>
      <c r="O81" s="126">
        <f t="shared" si="7"/>
        <v>2.910727313032789E-2</v>
      </c>
      <c r="P81" s="126">
        <f t="shared" si="8"/>
        <v>7.9745953781720252E-2</v>
      </c>
      <c r="Q81" s="122">
        <f t="shared" si="9"/>
        <v>3.8349829173629267E-3</v>
      </c>
      <c r="R81" s="126">
        <f t="shared" si="10"/>
        <v>1.7863093647105336E-4</v>
      </c>
      <c r="S81" s="127">
        <f t="shared" si="11"/>
        <v>6.6986601176645004E-5</v>
      </c>
      <c r="T81" s="576">
        <v>70</v>
      </c>
      <c r="U81" s="575">
        <v>6.87</v>
      </c>
      <c r="V81" s="575">
        <v>0.32</v>
      </c>
      <c r="W81" s="574">
        <v>0.12</v>
      </c>
      <c r="X81" s="187">
        <v>0</v>
      </c>
      <c r="Y81" s="187">
        <v>0.03</v>
      </c>
      <c r="Z81" s="187">
        <v>8</v>
      </c>
      <c r="AA81" s="187">
        <v>10</v>
      </c>
      <c r="AB81" s="187">
        <v>21</v>
      </c>
      <c r="AC81" s="364">
        <v>0.3</v>
      </c>
      <c r="AE81" s="351">
        <f>(55+82+89)/3</f>
        <v>75.333333333333329</v>
      </c>
      <c r="AF81" s="351">
        <f>(8+10+9)/3</f>
        <v>9</v>
      </c>
      <c r="AG81" s="351">
        <f>(0.2+0.5+0.5)/3</f>
        <v>0.39999999999999997</v>
      </c>
      <c r="AH81" s="351">
        <f>(0.2+0.2+0.1)/3</f>
        <v>0.16666666666666666</v>
      </c>
    </row>
    <row r="82" spans="1:34" s="163" customFormat="1" x14ac:dyDescent="0.2">
      <c r="A82" s="297">
        <v>59</v>
      </c>
      <c r="B82" s="282" t="s">
        <v>96</v>
      </c>
      <c r="C82" s="45"/>
      <c r="D82" s="133">
        <f>Produksi!F88</f>
        <v>0</v>
      </c>
      <c r="E82" s="333">
        <f>Stok!L87</f>
        <v>0</v>
      </c>
      <c r="F82" s="134">
        <f>'Impor_Pangan Masuk'!F89+'ESTIMASI  Ekspor Impor'!J82</f>
        <v>128</v>
      </c>
      <c r="G82" s="134">
        <f>'Ekspor_Pangan Keluar'!F89+'ESTIMASI  Ekspor Impor'!K82</f>
        <v>0</v>
      </c>
      <c r="H82" s="134">
        <f t="shared" si="6"/>
        <v>128</v>
      </c>
      <c r="I82" s="134">
        <f>'Pemakaian Dalam Negeri REVISI'!E82</f>
        <v>0</v>
      </c>
      <c r="J82" s="134">
        <f>'Pemakaian Dalam Negeri REVISI'!F82</f>
        <v>3.6736</v>
      </c>
      <c r="K82" s="134">
        <f>'Pemakaian Dalam Negeri REVISI'!G82</f>
        <v>0</v>
      </c>
      <c r="L82" s="134">
        <f>'Pemakaian Dalam Negeri REVISI'!H82</f>
        <v>2.5600000000000001E-2</v>
      </c>
      <c r="M82" s="134">
        <f>'Pemakaian Dalam Negeri REVISI'!I82</f>
        <v>0</v>
      </c>
      <c r="N82" s="134">
        <f>'Pemakaian Dalam Negeri REVISI'!J82</f>
        <v>124.30080000000001</v>
      </c>
      <c r="O82" s="126">
        <f t="shared" si="7"/>
        <v>0.50100078595755826</v>
      </c>
      <c r="P82" s="126">
        <f t="shared" si="8"/>
        <v>1.3726048930344061</v>
      </c>
      <c r="Q82" s="122">
        <f t="shared" si="9"/>
        <v>3.6648550644018645</v>
      </c>
      <c r="R82" s="126">
        <f t="shared" si="10"/>
        <v>0.19079208013178245</v>
      </c>
      <c r="S82" s="127">
        <f t="shared" si="11"/>
        <v>3.1569912539791342E-2</v>
      </c>
      <c r="T82" s="576">
        <v>100</v>
      </c>
      <c r="U82" s="575">
        <v>267</v>
      </c>
      <c r="V82" s="575">
        <v>13.9</v>
      </c>
      <c r="W82" s="574">
        <v>2.2999999999999998</v>
      </c>
      <c r="X82" s="187">
        <v>335</v>
      </c>
      <c r="Y82" s="187">
        <v>0.13</v>
      </c>
      <c r="Z82" s="187">
        <v>21</v>
      </c>
      <c r="AA82" s="187">
        <v>49</v>
      </c>
      <c r="AB82" s="187">
        <v>347</v>
      </c>
      <c r="AC82" s="364">
        <v>0.7</v>
      </c>
      <c r="AE82" s="56">
        <v>100</v>
      </c>
      <c r="AF82" s="56">
        <v>171</v>
      </c>
      <c r="AG82" s="56">
        <v>11</v>
      </c>
      <c r="AH82" s="56">
        <v>2.2000000000000002</v>
      </c>
    </row>
    <row r="83" spans="1:34" s="163" customFormat="1" x14ac:dyDescent="0.2">
      <c r="A83" s="297">
        <v>60</v>
      </c>
      <c r="B83" s="282" t="s">
        <v>97</v>
      </c>
      <c r="C83" s="45"/>
      <c r="D83" s="133">
        <f>Produksi!F89</f>
        <v>76</v>
      </c>
      <c r="E83" s="333">
        <f>Stok!L88</f>
        <v>0</v>
      </c>
      <c r="F83" s="134">
        <f>'Impor_Pangan Masuk'!F90+'ESTIMASI  Ekspor Impor'!J83</f>
        <v>453.62480858847238</v>
      </c>
      <c r="G83" s="134">
        <f>'Ekspor_Pangan Keluar'!F90+'ESTIMASI  Ekspor Impor'!K83</f>
        <v>0</v>
      </c>
      <c r="H83" s="134">
        <f t="shared" si="6"/>
        <v>529.62480858847243</v>
      </c>
      <c r="I83" s="134">
        <f>'Pemakaian Dalam Negeri REVISI'!E83</f>
        <v>0</v>
      </c>
      <c r="J83" s="134">
        <f>'Pemakaian Dalam Negeri REVISI'!F83</f>
        <v>2.330349157789279</v>
      </c>
      <c r="K83" s="134">
        <f>'Pemakaian Dalam Negeri REVISI'!G83</f>
        <v>0</v>
      </c>
      <c r="L83" s="134">
        <f>'Pemakaian Dalam Negeri REVISI'!H83</f>
        <v>10.433608729192906</v>
      </c>
      <c r="M83" s="134">
        <f>'Pemakaian Dalam Negeri REVISI'!I83</f>
        <v>0</v>
      </c>
      <c r="N83" s="134">
        <f>'Pemakaian Dalam Negeri REVISI'!J83</f>
        <v>516.86085070149022</v>
      </c>
      <c r="O83" s="126">
        <f t="shared" si="7"/>
        <v>2.0832343189435534</v>
      </c>
      <c r="P83" s="126">
        <f t="shared" si="8"/>
        <v>5.7074912847768591</v>
      </c>
      <c r="Q83" s="122">
        <f t="shared" si="9"/>
        <v>1.1814506959488098</v>
      </c>
      <c r="R83" s="126">
        <f t="shared" si="10"/>
        <v>0.11814506959488096</v>
      </c>
      <c r="S83" s="127">
        <f t="shared" si="11"/>
        <v>1.9690844932480162E-2</v>
      </c>
      <c r="T83" s="576">
        <v>75</v>
      </c>
      <c r="U83" s="575">
        <v>27.6</v>
      </c>
      <c r="V83" s="575">
        <v>2.76</v>
      </c>
      <c r="W83" s="574">
        <v>0.46</v>
      </c>
      <c r="X83" s="187"/>
      <c r="Y83" s="187"/>
      <c r="Z83" s="187"/>
      <c r="AA83" s="187"/>
      <c r="AB83" s="187"/>
      <c r="AC83" s="364"/>
      <c r="AE83" s="56">
        <v>92</v>
      </c>
      <c r="AF83" s="56">
        <v>31</v>
      </c>
      <c r="AG83" s="56">
        <v>2.2999999999999998</v>
      </c>
      <c r="AH83" s="56">
        <v>0.1</v>
      </c>
    </row>
    <row r="84" spans="1:34" ht="14.1" customHeight="1" x14ac:dyDescent="0.2">
      <c r="A84" s="297">
        <v>61</v>
      </c>
      <c r="B84" s="282" t="s">
        <v>98</v>
      </c>
      <c r="C84" s="45"/>
      <c r="D84" s="133">
        <f>Produksi!F90</f>
        <v>0</v>
      </c>
      <c r="E84" s="333">
        <f>Stok!L89</f>
        <v>0</v>
      </c>
      <c r="F84" s="134">
        <f>'Impor_Pangan Masuk'!F91+'ESTIMASI  Ekspor Impor'!J84</f>
        <v>1745</v>
      </c>
      <c r="G84" s="134">
        <f>'Ekspor_Pangan Keluar'!F91+'ESTIMASI  Ekspor Impor'!K84</f>
        <v>0</v>
      </c>
      <c r="H84" s="134">
        <f t="shared" si="6"/>
        <v>1745</v>
      </c>
      <c r="I84" s="134">
        <f>'Pemakaian Dalam Negeri REVISI'!E84</f>
        <v>0</v>
      </c>
      <c r="J84" s="134">
        <f>'Pemakaian Dalam Negeri REVISI'!F84</f>
        <v>20.765499999999999</v>
      </c>
      <c r="K84" s="134">
        <f>'Pemakaian Dalam Negeri REVISI'!G84</f>
        <v>0</v>
      </c>
      <c r="L84" s="134">
        <f>'Pemakaian Dalam Negeri REVISI'!H84</f>
        <v>19.718499999999999</v>
      </c>
      <c r="M84" s="134">
        <f>'Pemakaian Dalam Negeri REVISI'!I84</f>
        <v>0</v>
      </c>
      <c r="N84" s="134">
        <f>'Pemakaian Dalam Negeri REVISI'!J84</f>
        <v>1704.5160000000001</v>
      </c>
      <c r="O84" s="126">
        <f t="shared" si="7"/>
        <v>6.8701396586122812</v>
      </c>
      <c r="P84" s="126">
        <f t="shared" si="8"/>
        <v>18.822300434554194</v>
      </c>
      <c r="Q84" s="122">
        <f t="shared" si="9"/>
        <v>8.3322559563684511</v>
      </c>
      <c r="R84" s="126">
        <f t="shared" si="10"/>
        <v>0.28158161450093072</v>
      </c>
      <c r="S84" s="127">
        <f t="shared" si="11"/>
        <v>2.7198224127930812E-2</v>
      </c>
      <c r="T84" s="576">
        <v>85</v>
      </c>
      <c r="U84" s="575">
        <v>52.08</v>
      </c>
      <c r="V84" s="575">
        <v>1.76</v>
      </c>
      <c r="W84" s="574">
        <v>0.17</v>
      </c>
      <c r="X84" s="187">
        <v>0</v>
      </c>
      <c r="Y84" s="187">
        <v>0.11</v>
      </c>
      <c r="Z84" s="187">
        <v>17</v>
      </c>
      <c r="AA84" s="187">
        <v>11</v>
      </c>
      <c r="AB84" s="187">
        <v>56</v>
      </c>
      <c r="AC84" s="364">
        <v>0.7</v>
      </c>
      <c r="AE84" s="56">
        <v>85</v>
      </c>
      <c r="AF84" s="56">
        <v>62</v>
      </c>
      <c r="AG84" s="56">
        <v>2.1</v>
      </c>
      <c r="AH84" s="56">
        <v>0.2</v>
      </c>
    </row>
    <row r="85" spans="1:34" ht="14.1" customHeight="1" x14ac:dyDescent="0.2">
      <c r="A85" s="297">
        <v>62</v>
      </c>
      <c r="B85" s="293" t="s">
        <v>99</v>
      </c>
      <c r="C85" s="45"/>
      <c r="D85" s="133">
        <f>Produksi!F91</f>
        <v>0</v>
      </c>
      <c r="E85" s="333">
        <f>Stok!L90</f>
        <v>0</v>
      </c>
      <c r="F85" s="134">
        <f>'Impor_Pangan Masuk'!F92+'ESTIMASI  Ekspor Impor'!J85</f>
        <v>467.37101379105854</v>
      </c>
      <c r="G85" s="134">
        <f>'Ekspor_Pangan Keluar'!F92+'ESTIMASI  Ekspor Impor'!K85</f>
        <v>0</v>
      </c>
      <c r="H85" s="134">
        <f t="shared" si="6"/>
        <v>467.37101379105854</v>
      </c>
      <c r="I85" s="134">
        <f>'Pemakaian Dalam Negeri REVISI'!E85</f>
        <v>0</v>
      </c>
      <c r="J85" s="134">
        <f>'Pemakaian Dalam Negeri REVISI'!F85</f>
        <v>0</v>
      </c>
      <c r="K85" s="134">
        <f>'Pemakaian Dalam Negeri REVISI'!G85</f>
        <v>0</v>
      </c>
      <c r="L85" s="134">
        <f>'Pemakaian Dalam Negeri REVISI'!H85</f>
        <v>11.26364143236451</v>
      </c>
      <c r="M85" s="134">
        <f>'Pemakaian Dalam Negeri REVISI'!I85</f>
        <v>0</v>
      </c>
      <c r="N85" s="134">
        <f>'Pemakaian Dalam Negeri REVISI'!J85</f>
        <v>456.10737235869402</v>
      </c>
      <c r="O85" s="126">
        <f t="shared" si="7"/>
        <v>1.8383642907587272</v>
      </c>
      <c r="P85" s="126">
        <f t="shared" si="8"/>
        <v>5.0366144952293892</v>
      </c>
      <c r="Q85" s="122">
        <f t="shared" si="9"/>
        <v>0.67994295685596762</v>
      </c>
      <c r="R85" s="126">
        <f t="shared" si="10"/>
        <v>3.9663339149931441E-2</v>
      </c>
      <c r="S85" s="127">
        <f t="shared" si="11"/>
        <v>5.666191307133063E-3</v>
      </c>
      <c r="T85" s="576">
        <v>75</v>
      </c>
      <c r="U85" s="575">
        <v>18</v>
      </c>
      <c r="V85" s="575">
        <v>1.05</v>
      </c>
      <c r="W85" s="574">
        <v>0.15</v>
      </c>
      <c r="X85" s="187">
        <v>80</v>
      </c>
      <c r="Y85" s="187">
        <v>0.06</v>
      </c>
      <c r="Z85" s="187">
        <v>50</v>
      </c>
      <c r="AA85" s="187">
        <v>46</v>
      </c>
      <c r="AB85" s="187">
        <v>31</v>
      </c>
      <c r="AC85" s="364">
        <v>0.5</v>
      </c>
      <c r="AE85" s="351">
        <v>75</v>
      </c>
      <c r="AF85" s="351">
        <v>51</v>
      </c>
      <c r="AG85" s="351">
        <v>2.5</v>
      </c>
      <c r="AH85" s="351">
        <v>1.1000000000000001</v>
      </c>
    </row>
    <row r="86" spans="1:34" ht="14.1" customHeight="1" x14ac:dyDescent="0.2">
      <c r="A86" s="297">
        <v>63</v>
      </c>
      <c r="B86" s="293" t="s">
        <v>100</v>
      </c>
      <c r="C86" s="45"/>
      <c r="D86" s="133">
        <f>Produksi!F92</f>
        <v>0</v>
      </c>
      <c r="E86" s="333">
        <f>Stok!L91</f>
        <v>0</v>
      </c>
      <c r="F86" s="134">
        <f>'Impor_Pangan Masuk'!F93+'ESTIMASI  Ekspor Impor'!J86</f>
        <v>1329</v>
      </c>
      <c r="G86" s="134">
        <f>'Ekspor_Pangan Keluar'!F93+'ESTIMASI  Ekspor Impor'!K86</f>
        <v>0</v>
      </c>
      <c r="H86" s="134">
        <f t="shared" si="6"/>
        <v>1329</v>
      </c>
      <c r="I86" s="134">
        <f>'Pemakaian Dalam Negeri REVISI'!E86</f>
        <v>0</v>
      </c>
      <c r="J86" s="134">
        <f>'Pemakaian Dalam Negeri REVISI'!F86</f>
        <v>9.4359000000000002</v>
      </c>
      <c r="K86" s="134">
        <f>'Pemakaian Dalam Negeri REVISI'!G86</f>
        <v>0</v>
      </c>
      <c r="L86" s="134">
        <f>'Pemakaian Dalam Negeri REVISI'!H86</f>
        <v>22.460099999999997</v>
      </c>
      <c r="M86" s="134">
        <f>'Pemakaian Dalam Negeri REVISI'!I86</f>
        <v>0</v>
      </c>
      <c r="N86" s="134">
        <f>'Pemakaian Dalam Negeri REVISI'!J86</f>
        <v>1297.104</v>
      </c>
      <c r="O86" s="126">
        <f t="shared" si="7"/>
        <v>5.2280445779004854</v>
      </c>
      <c r="P86" s="126">
        <f t="shared" si="8"/>
        <v>14.323409802467083</v>
      </c>
      <c r="Q86" s="122">
        <f t="shared" si="9"/>
        <v>2.5853754693453084</v>
      </c>
      <c r="R86" s="126">
        <f t="shared" si="10"/>
        <v>0.1292687734672654</v>
      </c>
      <c r="S86" s="127">
        <f t="shared" si="11"/>
        <v>4.0821717937031182E-2</v>
      </c>
      <c r="T86" s="576">
        <v>95</v>
      </c>
      <c r="U86" s="575">
        <v>19</v>
      </c>
      <c r="V86" s="575">
        <v>0.95</v>
      </c>
      <c r="W86" s="574">
        <v>0.3</v>
      </c>
      <c r="X86" s="187">
        <v>1500</v>
      </c>
      <c r="Y86" s="187">
        <v>0.06</v>
      </c>
      <c r="Z86" s="187">
        <v>40</v>
      </c>
      <c r="AA86" s="187">
        <v>5</v>
      </c>
      <c r="AB86" s="187">
        <v>27</v>
      </c>
      <c r="AC86" s="364">
        <v>0.5</v>
      </c>
      <c r="AE86" s="353"/>
      <c r="AF86" s="353"/>
      <c r="AG86" s="353"/>
      <c r="AH86" s="353"/>
    </row>
    <row r="87" spans="1:34" ht="14.1" customHeight="1" x14ac:dyDescent="0.2">
      <c r="A87" s="297">
        <v>64</v>
      </c>
      <c r="B87" s="293" t="s">
        <v>101</v>
      </c>
      <c r="C87" s="45"/>
      <c r="D87" s="133">
        <f>Produksi!F93</f>
        <v>0</v>
      </c>
      <c r="E87" s="333">
        <f>Stok!L92</f>
        <v>0</v>
      </c>
      <c r="F87" s="134">
        <f>'Impor_Pangan Masuk'!F94+'ESTIMASI  Ekspor Impor'!J87</f>
        <v>440.85614403821103</v>
      </c>
      <c r="G87" s="134">
        <f>'Ekspor_Pangan Keluar'!F94+'ESTIMASI  Ekspor Impor'!K87</f>
        <v>0</v>
      </c>
      <c r="H87" s="134">
        <f t="shared" si="6"/>
        <v>440.85614403821103</v>
      </c>
      <c r="I87" s="134">
        <f>'Pemakaian Dalam Negeri REVISI'!E87</f>
        <v>0</v>
      </c>
      <c r="J87" s="134">
        <f>'Pemakaian Dalam Negeri REVISI'!F87</f>
        <v>0</v>
      </c>
      <c r="K87" s="134">
        <f>'Pemakaian Dalam Negeri REVISI'!G87</f>
        <v>0</v>
      </c>
      <c r="L87" s="134">
        <f>'Pemakaian Dalam Negeri REVISI'!H87</f>
        <v>10.624633071320886</v>
      </c>
      <c r="M87" s="134">
        <f>'Pemakaian Dalam Negeri REVISI'!I87</f>
        <v>0</v>
      </c>
      <c r="N87" s="134">
        <f>'Pemakaian Dalam Negeri REVISI'!J87</f>
        <v>430.23151096689014</v>
      </c>
      <c r="O87" s="126">
        <f t="shared" si="7"/>
        <v>1.734070296716673</v>
      </c>
      <c r="P87" s="126">
        <f t="shared" si="8"/>
        <v>4.750877525251159</v>
      </c>
      <c r="Q87" s="122">
        <f t="shared" si="9"/>
        <v>1.204062399999654</v>
      </c>
      <c r="R87" s="126">
        <f t="shared" si="10"/>
        <v>3.344617777776817E-2</v>
      </c>
      <c r="S87" s="127">
        <f t="shared" si="11"/>
        <v>2.0067706666660898E-2</v>
      </c>
      <c r="T87" s="576">
        <v>88</v>
      </c>
      <c r="U87" s="575">
        <v>28.8</v>
      </c>
      <c r="V87" s="575">
        <v>0.8</v>
      </c>
      <c r="W87" s="574">
        <v>0.48</v>
      </c>
      <c r="X87" s="187">
        <v>12000</v>
      </c>
      <c r="Y87" s="187">
        <v>0.06</v>
      </c>
      <c r="Z87" s="187">
        <v>6</v>
      </c>
      <c r="AA87" s="187">
        <v>39</v>
      </c>
      <c r="AB87" s="187">
        <v>37</v>
      </c>
      <c r="AC87" s="364">
        <v>0.8</v>
      </c>
      <c r="AE87" s="356">
        <v>80</v>
      </c>
      <c r="AF87" s="356">
        <v>36</v>
      </c>
      <c r="AG87" s="356">
        <v>1</v>
      </c>
      <c r="AH87" s="356">
        <v>0.6</v>
      </c>
    </row>
    <row r="88" spans="1:34" ht="14.1" customHeight="1" x14ac:dyDescent="0.2">
      <c r="A88" s="297">
        <v>65</v>
      </c>
      <c r="B88" s="293" t="s">
        <v>166</v>
      </c>
      <c r="C88" s="45"/>
      <c r="D88" s="133">
        <f>Produksi!F94</f>
        <v>78.400000000000006</v>
      </c>
      <c r="E88" s="333">
        <f>Stok!L93</f>
        <v>0</v>
      </c>
      <c r="F88" s="134">
        <f>'Impor_Pangan Masuk'!F95+'ESTIMASI  Ekspor Impor'!J88</f>
        <v>2420</v>
      </c>
      <c r="G88" s="134">
        <f>'Ekspor_Pangan Keluar'!F95+'ESTIMASI  Ekspor Impor'!K88</f>
        <v>0</v>
      </c>
      <c r="H88" s="134">
        <f t="shared" si="6"/>
        <v>2498.4</v>
      </c>
      <c r="I88" s="134">
        <f>'Pemakaian Dalam Negeri REVISI'!E88</f>
        <v>0</v>
      </c>
      <c r="J88" s="134">
        <f>'Pemakaian Dalam Negeri REVISI'!F88</f>
        <v>17.73864</v>
      </c>
      <c r="K88" s="134">
        <f>'Pemakaian Dalam Negeri REVISI'!G88</f>
        <v>0</v>
      </c>
      <c r="L88" s="134">
        <f>'Pemakaian Dalam Negeri REVISI'!H88</f>
        <v>38.725200000000001</v>
      </c>
      <c r="M88" s="134">
        <f>'Pemakaian Dalam Negeri REVISI'!I88</f>
        <v>0</v>
      </c>
      <c r="N88" s="134">
        <f>'Pemakaian Dalam Negeri REVISI'!J88</f>
        <v>2441.9361600000002</v>
      </c>
      <c r="O88" s="126">
        <f t="shared" si="7"/>
        <v>9.8423496503496519</v>
      </c>
      <c r="P88" s="126">
        <f t="shared" si="8"/>
        <v>26.965341507807267</v>
      </c>
      <c r="Q88" s="122">
        <f t="shared" si="9"/>
        <v>7.1053674873072152</v>
      </c>
      <c r="R88" s="126">
        <f t="shared" si="10"/>
        <v>0.22920540281636179</v>
      </c>
      <c r="S88" s="127">
        <f t="shared" si="11"/>
        <v>9.1682161126544717E-2</v>
      </c>
      <c r="T88" s="576">
        <v>85</v>
      </c>
      <c r="U88" s="575">
        <v>31</v>
      </c>
      <c r="V88" s="575">
        <v>1</v>
      </c>
      <c r="W88" s="574">
        <v>0.4</v>
      </c>
      <c r="X88" s="187"/>
      <c r="Y88" s="187"/>
      <c r="Z88" s="187"/>
      <c r="AA88" s="187"/>
      <c r="AB88" s="187"/>
      <c r="AC88" s="364"/>
      <c r="AE88" s="357">
        <v>85</v>
      </c>
      <c r="AF88" s="357">
        <v>36</v>
      </c>
      <c r="AG88" s="357">
        <v>1</v>
      </c>
      <c r="AH88" s="357">
        <v>0.3</v>
      </c>
    </row>
    <row r="89" spans="1:34" ht="14.1" customHeight="1" x14ac:dyDescent="0.2">
      <c r="A89" s="297">
        <v>66</v>
      </c>
      <c r="B89" s="293" t="s">
        <v>20</v>
      </c>
      <c r="C89" s="45"/>
      <c r="D89" s="133">
        <f>Produksi!F95</f>
        <v>60.7</v>
      </c>
      <c r="E89" s="333">
        <f>Stok!L94</f>
        <v>0</v>
      </c>
      <c r="F89" s="134">
        <f>'Impor_Pangan Masuk'!F96+'ESTIMASI  Ekspor Impor'!J89</f>
        <v>513</v>
      </c>
      <c r="G89" s="134">
        <f>'Ekspor_Pangan Keluar'!F96+'ESTIMASI  Ekspor Impor'!K89</f>
        <v>0</v>
      </c>
      <c r="H89" s="134">
        <f t="shared" si="6"/>
        <v>573.70000000000005</v>
      </c>
      <c r="I89" s="134">
        <f>'Pemakaian Dalam Negeri REVISI'!E89</f>
        <v>0</v>
      </c>
      <c r="J89" s="134">
        <f>'Pemakaian Dalam Negeri REVISI'!F89</f>
        <v>4.0732699999999999</v>
      </c>
      <c r="K89" s="134">
        <f>'Pemakaian Dalam Negeri REVISI'!G89</f>
        <v>0</v>
      </c>
      <c r="L89" s="134">
        <f>'Pemakaian Dalam Negeri REVISI'!H89</f>
        <v>9.8101717005369373</v>
      </c>
      <c r="M89" s="134">
        <f>'Pemakaian Dalam Negeri REVISI'!I89</f>
        <v>0</v>
      </c>
      <c r="N89" s="134">
        <f>'Pemakaian Dalam Negeri REVISI'!J89</f>
        <v>559.81655829946317</v>
      </c>
      <c r="O89" s="126">
        <f t="shared" si="7"/>
        <v>2.256369514114843</v>
      </c>
      <c r="P89" s="126">
        <f t="shared" si="8"/>
        <v>6.1818342852461452</v>
      </c>
      <c r="Q89" s="122">
        <f t="shared" si="9"/>
        <v>6.3054709709510677</v>
      </c>
      <c r="R89" s="126">
        <f t="shared" si="10"/>
        <v>0.26272795712296115</v>
      </c>
      <c r="S89" s="127">
        <f t="shared" si="11"/>
        <v>0.10509118284918446</v>
      </c>
      <c r="T89" s="576">
        <v>85</v>
      </c>
      <c r="U89" s="575">
        <v>120</v>
      </c>
      <c r="V89" s="575">
        <v>5</v>
      </c>
      <c r="W89" s="574">
        <v>2</v>
      </c>
      <c r="X89" s="187"/>
      <c r="Y89" s="187"/>
      <c r="Z89" s="187"/>
      <c r="AA89" s="187"/>
      <c r="AB89" s="187"/>
      <c r="AC89" s="364"/>
      <c r="AE89" s="351">
        <v>85</v>
      </c>
      <c r="AF89" s="351">
        <v>120</v>
      </c>
      <c r="AG89" s="351">
        <v>4.7</v>
      </c>
      <c r="AH89" s="351">
        <v>2.4</v>
      </c>
    </row>
    <row r="90" spans="1:34" ht="14.1" customHeight="1" x14ac:dyDescent="0.2">
      <c r="A90" s="297">
        <v>67</v>
      </c>
      <c r="B90" s="293" t="s">
        <v>102</v>
      </c>
      <c r="C90" s="45"/>
      <c r="D90" s="133">
        <f>Produksi!F96</f>
        <v>41.8</v>
      </c>
      <c r="E90" s="333">
        <f>Stok!L95</f>
        <v>0</v>
      </c>
      <c r="F90" s="134">
        <f>'Impor_Pangan Masuk'!F97+'ESTIMASI  Ekspor Impor'!J90</f>
        <v>1043.1987879352141</v>
      </c>
      <c r="G90" s="134">
        <f>'Ekspor_Pangan Keluar'!F97+'ESTIMASI  Ekspor Impor'!K90</f>
        <v>0</v>
      </c>
      <c r="H90" s="134">
        <f t="shared" si="6"/>
        <v>1084.9987879352141</v>
      </c>
      <c r="I90" s="134">
        <f>'Pemakaian Dalam Negeri REVISI'!E90</f>
        <v>0</v>
      </c>
      <c r="J90" s="134">
        <f>'Pemakaian Dalam Negeri REVISI'!F90</f>
        <v>7.9204911519270631</v>
      </c>
      <c r="K90" s="134">
        <f>'Pemakaian Dalam Negeri REVISI'!G90</f>
        <v>0</v>
      </c>
      <c r="L90" s="134">
        <f>'Pemakaian Dalam Negeri REVISI'!H90</f>
        <v>18.227979637311595</v>
      </c>
      <c r="M90" s="134">
        <f>'Pemakaian Dalam Negeri REVISI'!I90</f>
        <v>0</v>
      </c>
      <c r="N90" s="134">
        <f>'Pemakaian Dalam Negeri REVISI'!J90</f>
        <v>1058.8503171459754</v>
      </c>
      <c r="O90" s="126">
        <f t="shared" si="7"/>
        <v>4.2677508197979694</v>
      </c>
      <c r="P90" s="126">
        <f t="shared" si="8"/>
        <v>11.692467999446492</v>
      </c>
      <c r="Q90" s="122">
        <f t="shared" si="9"/>
        <v>3.7953400352163333</v>
      </c>
      <c r="R90" s="126">
        <f t="shared" si="10"/>
        <v>0.15584189048382263</v>
      </c>
      <c r="S90" s="127">
        <f t="shared" si="11"/>
        <v>6.0017438241158842E-2</v>
      </c>
      <c r="T90" s="576">
        <v>87</v>
      </c>
      <c r="U90" s="350">
        <v>37.31</v>
      </c>
      <c r="V90" s="350">
        <v>1.532</v>
      </c>
      <c r="W90" s="375">
        <v>0.59</v>
      </c>
      <c r="X90" s="187">
        <v>30</v>
      </c>
      <c r="Y90" s="187">
        <v>0.04</v>
      </c>
      <c r="Z90" s="187">
        <v>5</v>
      </c>
      <c r="AA90" s="187">
        <v>15</v>
      </c>
      <c r="AB90" s="187">
        <v>37</v>
      </c>
      <c r="AC90" s="364">
        <v>0.4</v>
      </c>
      <c r="AE90" s="351">
        <v>100</v>
      </c>
      <c r="AF90" s="351">
        <v>28</v>
      </c>
      <c r="AG90" s="351">
        <v>1.1000000000000001</v>
      </c>
      <c r="AH90" s="351">
        <v>0.2</v>
      </c>
    </row>
    <row r="91" spans="1:34" ht="14.1" customHeight="1" x14ac:dyDescent="0.2">
      <c r="A91" s="297">
        <v>68</v>
      </c>
      <c r="B91" s="296" t="s">
        <v>103</v>
      </c>
      <c r="C91" s="45"/>
      <c r="D91" s="133">
        <f>Produksi!F97</f>
        <v>0</v>
      </c>
      <c r="E91" s="333">
        <f>Stok!L96</f>
        <v>0</v>
      </c>
      <c r="F91" s="134">
        <f>'Impor_Pangan Masuk'!F98+'ESTIMASI  Ekspor Impor'!J91</f>
        <v>199.41200385185212</v>
      </c>
      <c r="G91" s="134">
        <f>'Ekspor_Pangan Keluar'!F98+'ESTIMASI  Ekspor Impor'!K91</f>
        <v>0</v>
      </c>
      <c r="H91" s="134">
        <f t="shared" si="6"/>
        <v>199.41200385185212</v>
      </c>
      <c r="I91" s="134">
        <f>'Pemakaian Dalam Negeri REVISI'!E91</f>
        <v>0</v>
      </c>
      <c r="J91" s="134">
        <f>'Pemakaian Dalam Negeri REVISI'!F91</f>
        <v>0</v>
      </c>
      <c r="K91" s="134">
        <f>'Pemakaian Dalam Negeri REVISI'!G91</f>
        <v>0</v>
      </c>
      <c r="L91" s="134">
        <f>'Pemakaian Dalam Negeri REVISI'!H91</f>
        <v>4.8058292928296362</v>
      </c>
      <c r="M91" s="134">
        <f>'Pemakaian Dalam Negeri REVISI'!I91</f>
        <v>0</v>
      </c>
      <c r="N91" s="134">
        <f>'Pemakaian Dalam Negeri REVISI'!J91</f>
        <v>194.60617455902249</v>
      </c>
      <c r="O91" s="126">
        <f t="shared" si="7"/>
        <v>0.78437022453808869</v>
      </c>
      <c r="P91" s="126">
        <f t="shared" si="8"/>
        <v>2.1489595192824349</v>
      </c>
      <c r="Q91" s="122">
        <f t="shared" si="9"/>
        <v>0.12339325559719742</v>
      </c>
      <c r="R91" s="126">
        <f t="shared" si="10"/>
        <v>1.1778447125187027E-2</v>
      </c>
      <c r="S91" s="127">
        <f t="shared" si="11"/>
        <v>2.8043921726635776E-3</v>
      </c>
      <c r="T91" s="576">
        <v>87</v>
      </c>
      <c r="U91" s="575">
        <v>6.6</v>
      </c>
      <c r="V91" s="575">
        <v>0.63</v>
      </c>
      <c r="W91" s="574">
        <v>0.15</v>
      </c>
      <c r="X91" s="187">
        <v>6460</v>
      </c>
      <c r="Y91" s="187">
        <v>0.09</v>
      </c>
      <c r="Z91" s="187">
        <v>102</v>
      </c>
      <c r="AA91" s="187">
        <v>220</v>
      </c>
      <c r="AB91" s="187">
        <v>38</v>
      </c>
      <c r="AC91" s="364">
        <v>2.9</v>
      </c>
      <c r="AE91" s="56">
        <v>87</v>
      </c>
      <c r="AF91" s="56">
        <v>28</v>
      </c>
      <c r="AG91" s="56">
        <v>2.2999999999999998</v>
      </c>
      <c r="AH91" s="56">
        <v>0.3</v>
      </c>
    </row>
    <row r="92" spans="1:34" s="163" customFormat="1" x14ac:dyDescent="0.2">
      <c r="A92" s="297">
        <v>69</v>
      </c>
      <c r="B92" s="293" t="s">
        <v>577</v>
      </c>
      <c r="C92" s="45"/>
      <c r="D92" s="133">
        <f>Produksi!F98</f>
        <v>0</v>
      </c>
      <c r="E92" s="333">
        <f>Stok!L97</f>
        <v>0</v>
      </c>
      <c r="F92" s="134">
        <f>'Impor_Pangan Masuk'!F99+'ESTIMASI  Ekspor Impor'!J92</f>
        <v>0</v>
      </c>
      <c r="G92" s="134">
        <f>'Ekspor_Pangan Keluar'!F99+'ESTIMASI  Ekspor Impor'!K92</f>
        <v>0</v>
      </c>
      <c r="H92" s="134">
        <f t="shared" si="6"/>
        <v>0</v>
      </c>
      <c r="I92" s="134">
        <f>'Pemakaian Dalam Negeri REVISI'!E92</f>
        <v>0</v>
      </c>
      <c r="J92" s="134">
        <f>'Pemakaian Dalam Negeri REVISI'!F92</f>
        <v>0</v>
      </c>
      <c r="K92" s="134">
        <f>'Pemakaian Dalam Negeri REVISI'!G92</f>
        <v>0</v>
      </c>
      <c r="L92" s="134">
        <f>'Pemakaian Dalam Negeri REVISI'!H92</f>
        <v>0</v>
      </c>
      <c r="M92" s="134">
        <f>'Pemakaian Dalam Negeri REVISI'!I92</f>
        <v>0</v>
      </c>
      <c r="N92" s="134">
        <f>'Pemakaian Dalam Negeri REVISI'!J92</f>
        <v>0</v>
      </c>
      <c r="O92" s="126">
        <f t="shared" si="7"/>
        <v>0</v>
      </c>
      <c r="P92" s="126">
        <f t="shared" si="8"/>
        <v>0</v>
      </c>
      <c r="Q92" s="122">
        <f t="shared" si="9"/>
        <v>0</v>
      </c>
      <c r="R92" s="126">
        <f t="shared" si="10"/>
        <v>0</v>
      </c>
      <c r="S92" s="127">
        <f t="shared" si="11"/>
        <v>0</v>
      </c>
      <c r="T92" s="576">
        <v>67</v>
      </c>
      <c r="U92" s="575">
        <v>29</v>
      </c>
      <c r="V92" s="575">
        <v>1.8</v>
      </c>
      <c r="W92" s="574">
        <v>0.7</v>
      </c>
      <c r="X92" s="187">
        <v>1365</v>
      </c>
      <c r="Y92" s="187">
        <v>0.09</v>
      </c>
      <c r="Z92" s="187">
        <v>37</v>
      </c>
      <c r="AA92" s="187">
        <v>55</v>
      </c>
      <c r="AB92" s="187">
        <v>39</v>
      </c>
      <c r="AC92" s="364">
        <v>7.2</v>
      </c>
      <c r="AE92" s="351">
        <v>67</v>
      </c>
      <c r="AF92" s="351">
        <v>41</v>
      </c>
      <c r="AG92" s="351">
        <v>2</v>
      </c>
      <c r="AH92" s="351">
        <v>0.3</v>
      </c>
    </row>
    <row r="93" spans="1:34" ht="14.1" customHeight="1" x14ac:dyDescent="0.2">
      <c r="A93" s="297">
        <v>70</v>
      </c>
      <c r="B93" s="293" t="s">
        <v>105</v>
      </c>
      <c r="C93" s="45"/>
      <c r="D93" s="133">
        <f>Produksi!F99</f>
        <v>270.8</v>
      </c>
      <c r="E93" s="333">
        <f>Stok!L98</f>
        <v>0</v>
      </c>
      <c r="F93" s="134">
        <f>'Impor_Pangan Masuk'!F100+'ESTIMASI  Ekspor Impor'!J93</f>
        <v>880.30989008076858</v>
      </c>
      <c r="G93" s="134">
        <f>'Ekspor_Pangan Keluar'!F100+'ESTIMASI  Ekspor Impor'!K93</f>
        <v>0</v>
      </c>
      <c r="H93" s="134">
        <f t="shared" si="6"/>
        <v>1151.1098900807685</v>
      </c>
      <c r="I93" s="134">
        <f>'Pemakaian Dalam Negeri REVISI'!E93</f>
        <v>0</v>
      </c>
      <c r="J93" s="134">
        <f>'Pemakaian Dalam Negeri REVISI'!F93</f>
        <v>6.676437362468457</v>
      </c>
      <c r="K93" s="134">
        <f>'Pemakaian Dalam Negeri REVISI'!G93</f>
        <v>0</v>
      </c>
      <c r="L93" s="134">
        <f>'Pemakaian Dalam Negeri REVISI'!H93</f>
        <v>21.065310988478064</v>
      </c>
      <c r="M93" s="134">
        <f>'Pemakaian Dalam Negeri REVISI'!I93</f>
        <v>0</v>
      </c>
      <c r="N93" s="134">
        <f>'Pemakaian Dalam Negeri REVISI'!J93</f>
        <v>1123.3681417298219</v>
      </c>
      <c r="O93" s="126">
        <f t="shared" si="7"/>
        <v>4.5277932396760319</v>
      </c>
      <c r="P93" s="126">
        <f t="shared" si="8"/>
        <v>12.404912985413786</v>
      </c>
      <c r="Q93" s="122">
        <f t="shared" si="9"/>
        <v>1.4588177670846612</v>
      </c>
      <c r="R93" s="126">
        <f t="shared" si="10"/>
        <v>0.17714215743170886</v>
      </c>
      <c r="S93" s="127">
        <f t="shared" si="11"/>
        <v>3.6470444177116527E-2</v>
      </c>
      <c r="T93" s="576">
        <v>70</v>
      </c>
      <c r="U93" s="575">
        <v>16.8</v>
      </c>
      <c r="V93" s="575">
        <v>2.04</v>
      </c>
      <c r="W93" s="574">
        <v>0.42</v>
      </c>
      <c r="X93" s="187">
        <v>6300</v>
      </c>
      <c r="Y93" s="187">
        <v>7.0000000000000007E-2</v>
      </c>
      <c r="Z93" s="187">
        <v>32</v>
      </c>
      <c r="AA93" s="187">
        <v>73</v>
      </c>
      <c r="AB93" s="187">
        <v>50</v>
      </c>
      <c r="AC93" s="364">
        <v>2.5</v>
      </c>
      <c r="AE93" s="351">
        <v>60</v>
      </c>
      <c r="AF93" s="351">
        <v>28</v>
      </c>
      <c r="AG93" s="351">
        <v>3.4</v>
      </c>
      <c r="AH93" s="351">
        <v>0.7</v>
      </c>
    </row>
    <row r="94" spans="1:34" ht="14.1" customHeight="1" x14ac:dyDescent="0.2">
      <c r="A94" s="297">
        <v>71</v>
      </c>
      <c r="B94" s="293" t="s">
        <v>106</v>
      </c>
      <c r="C94" s="45"/>
      <c r="D94" s="133">
        <f>Produksi!F100</f>
        <v>0</v>
      </c>
      <c r="E94" s="333">
        <f>Stok!L99</f>
        <v>0</v>
      </c>
      <c r="F94" s="134">
        <f>'Impor_Pangan Masuk'!F101+'ESTIMASI  Ekspor Impor'!J94</f>
        <v>1787</v>
      </c>
      <c r="G94" s="134">
        <f>'Ekspor_Pangan Keluar'!F101+'ESTIMASI  Ekspor Impor'!K94</f>
        <v>0</v>
      </c>
      <c r="H94" s="134">
        <f t="shared" si="6"/>
        <v>1787</v>
      </c>
      <c r="I94" s="134">
        <f>'Pemakaian Dalam Negeri REVISI'!E94</f>
        <v>0</v>
      </c>
      <c r="J94" s="134">
        <f>'Pemakaian Dalam Negeri REVISI'!F94</f>
        <v>6.9693000000000005</v>
      </c>
      <c r="K94" s="134">
        <f>'Pemakaian Dalam Negeri REVISI'!G94</f>
        <v>0</v>
      </c>
      <c r="L94" s="134">
        <f>'Pemakaian Dalam Negeri REVISI'!H94</f>
        <v>36.0974</v>
      </c>
      <c r="M94" s="134">
        <f>'Pemakaian Dalam Negeri REVISI'!I94</f>
        <v>0</v>
      </c>
      <c r="N94" s="134">
        <f>'Pemakaian Dalam Negeri REVISI'!J94</f>
        <v>1743.9332999999999</v>
      </c>
      <c r="O94" s="126">
        <f t="shared" si="7"/>
        <v>7.0290131194453958</v>
      </c>
      <c r="P94" s="126">
        <f t="shared" si="8"/>
        <v>19.257570190261358</v>
      </c>
      <c r="Q94" s="122">
        <f t="shared" si="9"/>
        <v>3.51835807376075</v>
      </c>
      <c r="R94" s="126">
        <f t="shared" si="10"/>
        <v>0.15078677458974643</v>
      </c>
      <c r="S94" s="127">
        <f t="shared" si="11"/>
        <v>1.6754086065527383E-2</v>
      </c>
      <c r="T94" s="576">
        <v>87</v>
      </c>
      <c r="U94" s="575">
        <v>21</v>
      </c>
      <c r="V94" s="575">
        <v>0.9</v>
      </c>
      <c r="W94" s="574">
        <v>0.1</v>
      </c>
      <c r="X94" s="187">
        <v>10</v>
      </c>
      <c r="Y94" s="187">
        <v>0.03</v>
      </c>
      <c r="Z94" s="187">
        <v>32</v>
      </c>
      <c r="AA94" s="187">
        <v>35</v>
      </c>
      <c r="AB94" s="187">
        <v>26</v>
      </c>
      <c r="AC94" s="364">
        <v>0.6</v>
      </c>
      <c r="AE94" s="351">
        <v>87</v>
      </c>
      <c r="AF94" s="351">
        <v>21</v>
      </c>
      <c r="AG94" s="351">
        <v>0.9</v>
      </c>
      <c r="AH94" s="351">
        <v>0.1</v>
      </c>
    </row>
    <row r="95" spans="1:34" ht="14.1" customHeight="1" x14ac:dyDescent="0.2">
      <c r="A95" s="297">
        <v>72</v>
      </c>
      <c r="B95" s="293" t="s">
        <v>107</v>
      </c>
      <c r="C95" s="45"/>
      <c r="D95" s="133">
        <f>Produksi!F101</f>
        <v>0</v>
      </c>
      <c r="E95" s="333">
        <f>Stok!L100</f>
        <v>0</v>
      </c>
      <c r="F95" s="134">
        <f>'Impor_Pangan Masuk'!F102+'ESTIMASI  Ekspor Impor'!J95</f>
        <v>0</v>
      </c>
      <c r="G95" s="134">
        <f>'Ekspor_Pangan Keluar'!F102+'ESTIMASI  Ekspor Impor'!K95</f>
        <v>0</v>
      </c>
      <c r="H95" s="134">
        <f t="shared" si="6"/>
        <v>0</v>
      </c>
      <c r="I95" s="134">
        <f>'Pemakaian Dalam Negeri REVISI'!E95</f>
        <v>0</v>
      </c>
      <c r="J95" s="134">
        <f>'Pemakaian Dalam Negeri REVISI'!F95</f>
        <v>0</v>
      </c>
      <c r="K95" s="134">
        <f>'Pemakaian Dalam Negeri REVISI'!G95</f>
        <v>0</v>
      </c>
      <c r="L95" s="134">
        <f>'Pemakaian Dalam Negeri REVISI'!H95</f>
        <v>0</v>
      </c>
      <c r="M95" s="134">
        <f>'Pemakaian Dalam Negeri REVISI'!I95</f>
        <v>0</v>
      </c>
      <c r="N95" s="134">
        <f>'Pemakaian Dalam Negeri REVISI'!J95</f>
        <v>0</v>
      </c>
      <c r="O95" s="126">
        <f t="shared" si="7"/>
        <v>0</v>
      </c>
      <c r="P95" s="126">
        <f t="shared" si="8"/>
        <v>0</v>
      </c>
      <c r="Q95" s="122">
        <f t="shared" si="9"/>
        <v>0</v>
      </c>
      <c r="R95" s="126">
        <f t="shared" si="10"/>
        <v>0</v>
      </c>
      <c r="S95" s="127">
        <f t="shared" si="11"/>
        <v>0</v>
      </c>
      <c r="T95" s="576">
        <v>83</v>
      </c>
      <c r="U95" s="575">
        <v>30</v>
      </c>
      <c r="V95" s="575">
        <v>0.6</v>
      </c>
      <c r="W95" s="574">
        <v>0.1</v>
      </c>
      <c r="X95" s="187">
        <v>90</v>
      </c>
      <c r="Y95" s="187">
        <v>0.05</v>
      </c>
      <c r="Z95" s="187">
        <v>27</v>
      </c>
      <c r="AA95" s="187">
        <v>24</v>
      </c>
      <c r="AB95" s="187">
        <v>36</v>
      </c>
      <c r="AC95" s="364">
        <v>0.8</v>
      </c>
      <c r="AE95" s="351">
        <v>83</v>
      </c>
      <c r="AF95" s="351">
        <v>30</v>
      </c>
      <c r="AG95" s="351">
        <v>0.6</v>
      </c>
      <c r="AH95" s="351">
        <v>0.1</v>
      </c>
    </row>
    <row r="96" spans="1:34" ht="14.1" customHeight="1" x14ac:dyDescent="0.2">
      <c r="A96" s="297">
        <v>73</v>
      </c>
      <c r="B96" s="293" t="s">
        <v>108</v>
      </c>
      <c r="C96" s="45"/>
      <c r="D96" s="133">
        <f>Produksi!F102</f>
        <v>0</v>
      </c>
      <c r="E96" s="333">
        <f>Stok!L101</f>
        <v>0</v>
      </c>
      <c r="F96" s="134">
        <f>'Impor_Pangan Masuk'!F103+'ESTIMASI  Ekspor Impor'!J96</f>
        <v>248.16902064286708</v>
      </c>
      <c r="G96" s="134">
        <f>'Ekspor_Pangan Keluar'!F103+'ESTIMASI  Ekspor Impor'!K96</f>
        <v>0</v>
      </c>
      <c r="H96" s="134">
        <f t="shared" si="6"/>
        <v>248.16902064286708</v>
      </c>
      <c r="I96" s="134">
        <f>'Pemakaian Dalam Negeri REVISI'!E96</f>
        <v>0</v>
      </c>
      <c r="J96" s="134">
        <f>'Pemakaian Dalam Negeri REVISI'!F96</f>
        <v>1.0919436908286153</v>
      </c>
      <c r="K96" s="134">
        <f>'Pemakaian Dalam Negeri REVISI'!G96</f>
        <v>0</v>
      </c>
      <c r="L96" s="134">
        <f>'Pemakaian Dalam Negeri REVISI'!H96</f>
        <v>4.8889297066644808</v>
      </c>
      <c r="M96" s="134">
        <f>'Pemakaian Dalam Negeri REVISI'!I96</f>
        <v>0</v>
      </c>
      <c r="N96" s="134">
        <f>'Pemakaian Dalam Negeri REVISI'!J96</f>
        <v>242.18814724537398</v>
      </c>
      <c r="O96" s="126">
        <f t="shared" si="7"/>
        <v>0.97615181977539334</v>
      </c>
      <c r="P96" s="126">
        <f t="shared" si="8"/>
        <v>2.674388547329845</v>
      </c>
      <c r="Q96" s="122">
        <f t="shared" si="9"/>
        <v>0.73652660593463937</v>
      </c>
      <c r="R96" s="126">
        <f t="shared" si="10"/>
        <v>5.1990113360092197E-2</v>
      </c>
      <c r="S96" s="127">
        <f t="shared" si="11"/>
        <v>6.4987641700115246E-3</v>
      </c>
      <c r="T96" s="576">
        <v>90</v>
      </c>
      <c r="U96" s="575">
        <v>30.6</v>
      </c>
      <c r="V96" s="575">
        <v>2.16</v>
      </c>
      <c r="W96" s="574">
        <v>0.27</v>
      </c>
      <c r="X96" s="187">
        <v>630</v>
      </c>
      <c r="Y96" s="187">
        <v>0.08</v>
      </c>
      <c r="Z96" s="187">
        <v>19</v>
      </c>
      <c r="AA96" s="187">
        <v>65</v>
      </c>
      <c r="AB96" s="187">
        <v>44</v>
      </c>
      <c r="AC96" s="364">
        <v>1.1000000000000001</v>
      </c>
      <c r="AE96" s="351">
        <v>90</v>
      </c>
      <c r="AF96" s="351">
        <v>34</v>
      </c>
      <c r="AG96" s="351">
        <v>2.4</v>
      </c>
      <c r="AH96" s="351">
        <v>0.3</v>
      </c>
    </row>
    <row r="97" spans="1:34" ht="14.1" customHeight="1" x14ac:dyDescent="0.2">
      <c r="A97" s="297">
        <v>74</v>
      </c>
      <c r="B97" s="293" t="s">
        <v>109</v>
      </c>
      <c r="C97" s="45"/>
      <c r="D97" s="133">
        <f>Produksi!F103</f>
        <v>231.4</v>
      </c>
      <c r="E97" s="333">
        <f>Stok!L102</f>
        <v>0</v>
      </c>
      <c r="F97" s="134">
        <f>'Impor_Pangan Masuk'!F104+'ESTIMASI  Ekspor Impor'!J97</f>
        <v>734.53099457634596</v>
      </c>
      <c r="G97" s="134">
        <f>'Ekspor_Pangan Keluar'!F104+'ESTIMASI  Ekspor Impor'!K97</f>
        <v>0</v>
      </c>
      <c r="H97" s="134">
        <f t="shared" si="6"/>
        <v>965.93099457634594</v>
      </c>
      <c r="I97" s="134">
        <f>'Pemakaian Dalam Negeri REVISI'!E97</f>
        <v>0</v>
      </c>
      <c r="J97" s="134">
        <f>'Pemakaian Dalam Negeri REVISI'!F97</f>
        <v>4.2500963761359225</v>
      </c>
      <c r="K97" s="134">
        <f>'Pemakaian Dalam Negeri REVISI'!G97</f>
        <v>0</v>
      </c>
      <c r="L97" s="134">
        <f>'Pemakaian Dalam Negeri REVISI'!H97</f>
        <v>19.028840593154015</v>
      </c>
      <c r="M97" s="134">
        <f>'Pemakaian Dalam Negeri REVISI'!I97</f>
        <v>0</v>
      </c>
      <c r="N97" s="134">
        <f>'Pemakaian Dalam Negeri REVISI'!J97</f>
        <v>942.65205760705601</v>
      </c>
      <c r="O97" s="126">
        <f t="shared" si="7"/>
        <v>3.799407741105806</v>
      </c>
      <c r="P97" s="126">
        <f t="shared" si="8"/>
        <v>10.409336277002208</v>
      </c>
      <c r="Q97" s="122">
        <f t="shared" si="9"/>
        <v>0.83957542675788988</v>
      </c>
      <c r="R97" s="126">
        <f t="shared" si="10"/>
        <v>4.7300024042698022E-2</v>
      </c>
      <c r="S97" s="127">
        <f t="shared" si="11"/>
        <v>2.0693760518680389E-2</v>
      </c>
      <c r="T97" s="576">
        <v>71</v>
      </c>
      <c r="U97" s="575">
        <v>11.36</v>
      </c>
      <c r="V97" s="575">
        <v>0.64</v>
      </c>
      <c r="W97" s="574">
        <v>0.28000000000000003</v>
      </c>
      <c r="X97" s="187">
        <v>6090</v>
      </c>
      <c r="Y97" s="187">
        <v>0.08</v>
      </c>
      <c r="Z97" s="187">
        <v>80</v>
      </c>
      <c r="AA97" s="187">
        <v>267</v>
      </c>
      <c r="AB97" s="187">
        <v>67</v>
      </c>
      <c r="AC97" s="364">
        <v>3.9</v>
      </c>
      <c r="AE97" s="351">
        <v>71</v>
      </c>
      <c r="AF97" s="351">
        <v>16</v>
      </c>
      <c r="AG97" s="351">
        <v>0.9</v>
      </c>
      <c r="AH97" s="351">
        <v>0.4</v>
      </c>
    </row>
    <row r="98" spans="1:34" ht="14.1" customHeight="1" x14ac:dyDescent="0.2">
      <c r="A98" s="297">
        <v>75</v>
      </c>
      <c r="B98" s="293" t="s">
        <v>111</v>
      </c>
      <c r="C98" s="45"/>
      <c r="D98" s="133">
        <f>Produksi!F104</f>
        <v>0</v>
      </c>
      <c r="E98" s="333">
        <f>Stok!L103</f>
        <v>0</v>
      </c>
      <c r="F98" s="134">
        <f>'Impor_Pangan Masuk'!F105+'ESTIMASI  Ekspor Impor'!J98</f>
        <v>0</v>
      </c>
      <c r="G98" s="134">
        <f>'Ekspor_Pangan Keluar'!F105+'ESTIMASI  Ekspor Impor'!K98</f>
        <v>0</v>
      </c>
      <c r="H98" s="134">
        <f t="shared" si="6"/>
        <v>0</v>
      </c>
      <c r="I98" s="134">
        <f>'Pemakaian Dalam Negeri REVISI'!E98</f>
        <v>0</v>
      </c>
      <c r="J98" s="134">
        <f>'Pemakaian Dalam Negeri REVISI'!F98</f>
        <v>0</v>
      </c>
      <c r="K98" s="134">
        <f>'Pemakaian Dalam Negeri REVISI'!G98</f>
        <v>0</v>
      </c>
      <c r="L98" s="134">
        <f>'Pemakaian Dalam Negeri REVISI'!H98</f>
        <v>0</v>
      </c>
      <c r="M98" s="134">
        <f>'Pemakaian Dalam Negeri REVISI'!I98</f>
        <v>0</v>
      </c>
      <c r="N98" s="134">
        <f>'Pemakaian Dalam Negeri REVISI'!J98</f>
        <v>0</v>
      </c>
      <c r="O98" s="126">
        <f t="shared" si="7"/>
        <v>0</v>
      </c>
      <c r="P98" s="126">
        <f t="shared" si="8"/>
        <v>0</v>
      </c>
      <c r="Q98" s="122">
        <f t="shared" si="9"/>
        <v>0</v>
      </c>
      <c r="R98" s="126">
        <f t="shared" si="10"/>
        <v>0</v>
      </c>
      <c r="S98" s="127">
        <f t="shared" si="11"/>
        <v>0</v>
      </c>
      <c r="T98" s="579">
        <v>57</v>
      </c>
      <c r="U98" s="578">
        <v>25</v>
      </c>
      <c r="V98" s="578">
        <v>2.4</v>
      </c>
      <c r="W98" s="577">
        <v>0.2</v>
      </c>
      <c r="X98" s="171"/>
      <c r="Y98" s="187"/>
      <c r="Z98" s="187"/>
      <c r="AA98" s="187"/>
      <c r="AB98" s="187"/>
      <c r="AC98" s="364"/>
      <c r="AE98" s="351">
        <v>57</v>
      </c>
      <c r="AF98" s="351">
        <v>25</v>
      </c>
      <c r="AG98" s="351">
        <v>2.4</v>
      </c>
      <c r="AH98" s="351">
        <v>0.2</v>
      </c>
    </row>
    <row r="99" spans="1:34" ht="14.1" customHeight="1" x14ac:dyDescent="0.2">
      <c r="A99" s="297">
        <v>76</v>
      </c>
      <c r="B99" s="293" t="s">
        <v>167</v>
      </c>
      <c r="C99" s="45"/>
      <c r="D99" s="133">
        <f>Produksi!F105</f>
        <v>0</v>
      </c>
      <c r="E99" s="333">
        <f>Stok!L104</f>
        <v>0</v>
      </c>
      <c r="F99" s="134">
        <f>'Impor_Pangan Masuk'!F106+'ESTIMASI  Ekspor Impor'!J99</f>
        <v>0</v>
      </c>
      <c r="G99" s="134">
        <f>'Ekspor_Pangan Keluar'!F106+'ESTIMASI  Ekspor Impor'!K99</f>
        <v>0</v>
      </c>
      <c r="H99" s="134">
        <f t="shared" si="6"/>
        <v>0</v>
      </c>
      <c r="I99" s="134">
        <f>'Pemakaian Dalam Negeri REVISI'!E99</f>
        <v>0</v>
      </c>
      <c r="J99" s="134">
        <f>'Pemakaian Dalam Negeri REVISI'!F99</f>
        <v>0</v>
      </c>
      <c r="K99" s="134">
        <f>'Pemakaian Dalam Negeri REVISI'!G99</f>
        <v>0</v>
      </c>
      <c r="L99" s="134">
        <f>'Pemakaian Dalam Negeri REVISI'!H99</f>
        <v>0</v>
      </c>
      <c r="M99" s="134">
        <f>'Pemakaian Dalam Negeri REVISI'!I99</f>
        <v>0</v>
      </c>
      <c r="N99" s="134">
        <f>'Pemakaian Dalam Negeri REVISI'!J99</f>
        <v>0</v>
      </c>
      <c r="O99" s="126">
        <f t="shared" si="7"/>
        <v>0</v>
      </c>
      <c r="P99" s="126">
        <f t="shared" si="8"/>
        <v>0</v>
      </c>
      <c r="Q99" s="122">
        <f t="shared" si="9"/>
        <v>0</v>
      </c>
      <c r="R99" s="126">
        <f t="shared" si="10"/>
        <v>0</v>
      </c>
      <c r="S99" s="127">
        <f t="shared" si="11"/>
        <v>0</v>
      </c>
      <c r="T99" s="385">
        <v>100</v>
      </c>
      <c r="U99" s="351">
        <v>30</v>
      </c>
      <c r="V99" s="351">
        <v>1.9</v>
      </c>
      <c r="W99" s="386">
        <v>0.1</v>
      </c>
      <c r="X99" s="163"/>
      <c r="Y99" s="163"/>
      <c r="Z99" s="163"/>
      <c r="AA99" s="163"/>
      <c r="AB99" s="163"/>
      <c r="AC99" s="367"/>
      <c r="AE99" s="351">
        <v>100</v>
      </c>
      <c r="AF99" s="351">
        <v>30</v>
      </c>
      <c r="AG99" s="351">
        <v>1.9</v>
      </c>
      <c r="AH99" s="351">
        <v>0.1</v>
      </c>
    </row>
    <row r="100" spans="1:34" ht="14.1" customHeight="1" x14ac:dyDescent="0.2">
      <c r="A100" s="297">
        <v>77</v>
      </c>
      <c r="B100" s="293" t="s">
        <v>21</v>
      </c>
      <c r="C100" s="45"/>
      <c r="D100" s="133">
        <f>Produksi!F106</f>
        <v>0</v>
      </c>
      <c r="E100" s="333">
        <f>Stok!L105</f>
        <v>0</v>
      </c>
      <c r="F100" s="134">
        <f>'Impor_Pangan Masuk'!F107+'ESTIMASI  Ekspor Impor'!J100</f>
        <v>0</v>
      </c>
      <c r="G100" s="134">
        <f>'Ekspor_Pangan Keluar'!F107+'ESTIMASI  Ekspor Impor'!K100</f>
        <v>0</v>
      </c>
      <c r="H100" s="134">
        <f t="shared" si="6"/>
        <v>0</v>
      </c>
      <c r="I100" s="134">
        <f>'Pemakaian Dalam Negeri REVISI'!E100</f>
        <v>0</v>
      </c>
      <c r="J100" s="134">
        <f>'Pemakaian Dalam Negeri REVISI'!F100</f>
        <v>0</v>
      </c>
      <c r="K100" s="134">
        <f>'Pemakaian Dalam Negeri REVISI'!G100</f>
        <v>0</v>
      </c>
      <c r="L100" s="134">
        <f>'Pemakaian Dalam Negeri REVISI'!H100</f>
        <v>0</v>
      </c>
      <c r="M100" s="134">
        <f>'Pemakaian Dalam Negeri REVISI'!I100</f>
        <v>0</v>
      </c>
      <c r="N100" s="134">
        <f>'Pemakaian Dalam Negeri REVISI'!J100</f>
        <v>0</v>
      </c>
      <c r="O100" s="126">
        <f t="shared" si="7"/>
        <v>0</v>
      </c>
      <c r="P100" s="126">
        <f t="shared" si="8"/>
        <v>0</v>
      </c>
      <c r="Q100" s="122">
        <f t="shared" si="9"/>
        <v>0</v>
      </c>
      <c r="R100" s="126">
        <f t="shared" si="10"/>
        <v>0</v>
      </c>
      <c r="S100" s="127">
        <f t="shared" si="11"/>
        <v>0</v>
      </c>
      <c r="T100" s="385">
        <v>100</v>
      </c>
      <c r="U100" s="351">
        <v>30</v>
      </c>
      <c r="V100" s="351">
        <v>3.5</v>
      </c>
      <c r="W100" s="386">
        <v>0.2</v>
      </c>
      <c r="X100" s="163"/>
      <c r="Y100" s="163"/>
      <c r="Z100" s="163"/>
      <c r="AA100" s="163"/>
      <c r="AB100" s="163"/>
      <c r="AC100" s="367"/>
      <c r="AE100" s="351">
        <v>100</v>
      </c>
      <c r="AF100" s="351">
        <v>30</v>
      </c>
      <c r="AG100" s="351">
        <v>3.5</v>
      </c>
      <c r="AH100" s="351">
        <v>0.2</v>
      </c>
    </row>
    <row r="101" spans="1:34" ht="14.1" customHeight="1" x14ac:dyDescent="0.2">
      <c r="A101" s="297">
        <v>78</v>
      </c>
      <c r="B101" s="293" t="s">
        <v>22</v>
      </c>
      <c r="C101" s="45"/>
      <c r="D101" s="133">
        <f>Produksi!F107</f>
        <v>0</v>
      </c>
      <c r="E101" s="333">
        <f>Stok!L106</f>
        <v>0</v>
      </c>
      <c r="F101" s="134">
        <f>'Impor_Pangan Masuk'!F108+'ESTIMASI  Ekspor Impor'!J101</f>
        <v>0</v>
      </c>
      <c r="G101" s="134">
        <f>'Ekspor_Pangan Keluar'!F108+'ESTIMASI  Ekspor Impor'!K101</f>
        <v>0</v>
      </c>
      <c r="H101" s="134">
        <f t="shared" si="6"/>
        <v>0</v>
      </c>
      <c r="I101" s="134">
        <f>'Pemakaian Dalam Negeri REVISI'!E101</f>
        <v>0</v>
      </c>
      <c r="J101" s="134">
        <f>'Pemakaian Dalam Negeri REVISI'!F101</f>
        <v>0</v>
      </c>
      <c r="K101" s="134">
        <f>'Pemakaian Dalam Negeri REVISI'!G101</f>
        <v>0</v>
      </c>
      <c r="L101" s="134">
        <f>'Pemakaian Dalam Negeri REVISI'!H101</f>
        <v>0</v>
      </c>
      <c r="M101" s="134">
        <f>'Pemakaian Dalam Negeri REVISI'!I101</f>
        <v>0</v>
      </c>
      <c r="N101" s="134">
        <f>'Pemakaian Dalam Negeri REVISI'!J101</f>
        <v>0</v>
      </c>
      <c r="O101" s="126">
        <f t="shared" si="7"/>
        <v>0</v>
      </c>
      <c r="P101" s="126">
        <f t="shared" si="8"/>
        <v>0</v>
      </c>
      <c r="Q101" s="122">
        <f t="shared" si="9"/>
        <v>0</v>
      </c>
      <c r="R101" s="126">
        <f t="shared" si="10"/>
        <v>0</v>
      </c>
      <c r="S101" s="127">
        <f t="shared" si="11"/>
        <v>0</v>
      </c>
      <c r="T101" s="579">
        <v>100</v>
      </c>
      <c r="U101" s="578">
        <v>71.5</v>
      </c>
      <c r="V101" s="578">
        <v>9.9</v>
      </c>
      <c r="W101" s="577">
        <v>0.8</v>
      </c>
      <c r="X101" s="163"/>
      <c r="Y101" s="163"/>
      <c r="Z101" s="163"/>
      <c r="AA101" s="163"/>
      <c r="AB101" s="163"/>
      <c r="AC101" s="367"/>
      <c r="AE101" s="353"/>
      <c r="AF101" s="353"/>
      <c r="AG101" s="353"/>
      <c r="AH101" s="353"/>
    </row>
    <row r="102" spans="1:34" ht="14.1" customHeight="1" x14ac:dyDescent="0.2">
      <c r="A102" s="297">
        <v>79</v>
      </c>
      <c r="B102" s="293" t="s">
        <v>112</v>
      </c>
      <c r="C102" s="45"/>
      <c r="D102" s="133">
        <f>Produksi!F108</f>
        <v>0</v>
      </c>
      <c r="E102" s="333">
        <f>Stok!L107</f>
        <v>0</v>
      </c>
      <c r="F102" s="134">
        <f>'Impor_Pangan Masuk'!F109+'ESTIMASI  Ekspor Impor'!J102</f>
        <v>0</v>
      </c>
      <c r="G102" s="134">
        <f>'Ekspor_Pangan Keluar'!F109+'ESTIMASI  Ekspor Impor'!K102</f>
        <v>0</v>
      </c>
      <c r="H102" s="134">
        <f t="shared" si="6"/>
        <v>0</v>
      </c>
      <c r="I102" s="134">
        <f>'Pemakaian Dalam Negeri REVISI'!E102</f>
        <v>0</v>
      </c>
      <c r="J102" s="134">
        <f>'Pemakaian Dalam Negeri REVISI'!F102</f>
        <v>0</v>
      </c>
      <c r="K102" s="134">
        <f>'Pemakaian Dalam Negeri REVISI'!G102</f>
        <v>0</v>
      </c>
      <c r="L102" s="134">
        <f>'Pemakaian Dalam Negeri REVISI'!H102</f>
        <v>0</v>
      </c>
      <c r="M102" s="134">
        <f>'Pemakaian Dalam Negeri REVISI'!I102</f>
        <v>0</v>
      </c>
      <c r="N102" s="134">
        <f>'Pemakaian Dalam Negeri REVISI'!J102</f>
        <v>0</v>
      </c>
      <c r="O102" s="126">
        <f t="shared" si="7"/>
        <v>0</v>
      </c>
      <c r="P102" s="126">
        <f t="shared" si="8"/>
        <v>0</v>
      </c>
      <c r="Q102" s="122">
        <f t="shared" si="9"/>
        <v>0</v>
      </c>
      <c r="R102" s="126">
        <f t="shared" si="10"/>
        <v>0</v>
      </c>
      <c r="S102" s="127">
        <f t="shared" si="11"/>
        <v>0</v>
      </c>
      <c r="T102" s="579">
        <v>60</v>
      </c>
      <c r="U102" s="578">
        <v>66</v>
      </c>
      <c r="V102" s="578">
        <v>5</v>
      </c>
      <c r="W102" s="577">
        <v>0.7</v>
      </c>
      <c r="X102" s="171"/>
      <c r="Y102" s="187"/>
      <c r="Z102" s="187"/>
      <c r="AA102" s="187"/>
      <c r="AB102" s="187"/>
      <c r="AC102" s="364"/>
      <c r="AE102" s="351">
        <v>60</v>
      </c>
      <c r="AF102" s="351">
        <v>66</v>
      </c>
      <c r="AG102" s="351">
        <v>5</v>
      </c>
      <c r="AH102" s="351">
        <v>0.7</v>
      </c>
    </row>
    <row r="103" spans="1:34" ht="14.1" customHeight="1" x14ac:dyDescent="0.2">
      <c r="A103" s="297">
        <v>80</v>
      </c>
      <c r="B103" s="293" t="s">
        <v>113</v>
      </c>
      <c r="C103" s="45"/>
      <c r="D103" s="133">
        <f>Produksi!F109</f>
        <v>0</v>
      </c>
      <c r="E103" s="333">
        <f>Stok!L108</f>
        <v>0</v>
      </c>
      <c r="F103" s="134">
        <f>'Impor_Pangan Masuk'!F110+'ESTIMASI  Ekspor Impor'!J103</f>
        <v>0</v>
      </c>
      <c r="G103" s="134">
        <f>'Ekspor_Pangan Keluar'!F110+'ESTIMASI  Ekspor Impor'!K103</f>
        <v>0</v>
      </c>
      <c r="H103" s="134">
        <f t="shared" si="6"/>
        <v>0</v>
      </c>
      <c r="I103" s="134">
        <f>'Pemakaian Dalam Negeri REVISI'!E103</f>
        <v>0</v>
      </c>
      <c r="J103" s="134">
        <f>'Pemakaian Dalam Negeri REVISI'!F103</f>
        <v>0</v>
      </c>
      <c r="K103" s="134">
        <f>'Pemakaian Dalam Negeri REVISI'!G103</f>
        <v>0</v>
      </c>
      <c r="L103" s="134">
        <f>'Pemakaian Dalam Negeri REVISI'!H103</f>
        <v>0</v>
      </c>
      <c r="M103" s="134">
        <f>'Pemakaian Dalam Negeri REVISI'!I103</f>
        <v>0</v>
      </c>
      <c r="N103" s="134">
        <f>'Pemakaian Dalam Negeri REVISI'!J103</f>
        <v>0</v>
      </c>
      <c r="O103" s="126">
        <f t="shared" si="7"/>
        <v>0</v>
      </c>
      <c r="P103" s="126">
        <f t="shared" si="8"/>
        <v>0</v>
      </c>
      <c r="Q103" s="122">
        <f t="shared" si="9"/>
        <v>0</v>
      </c>
      <c r="R103" s="126">
        <f t="shared" si="10"/>
        <v>0</v>
      </c>
      <c r="S103" s="127">
        <f t="shared" si="11"/>
        <v>0</v>
      </c>
      <c r="T103" s="579">
        <v>36</v>
      </c>
      <c r="U103" s="578">
        <v>51.1</v>
      </c>
      <c r="V103" s="578">
        <v>3.74</v>
      </c>
      <c r="W103" s="577">
        <v>0.7</v>
      </c>
      <c r="X103" s="171"/>
      <c r="Y103" s="187"/>
      <c r="Z103" s="187"/>
      <c r="AA103" s="187"/>
      <c r="AB103" s="187"/>
      <c r="AC103" s="364"/>
      <c r="AE103" s="351">
        <v>36</v>
      </c>
      <c r="AF103" s="351">
        <v>92</v>
      </c>
      <c r="AG103" s="351">
        <v>5.4</v>
      </c>
      <c r="AH103" s="351">
        <v>1.1000000000000001</v>
      </c>
    </row>
    <row r="104" spans="1:34" ht="14.1" customHeight="1" x14ac:dyDescent="0.2">
      <c r="A104" s="297">
        <v>81</v>
      </c>
      <c r="B104" s="293" t="s">
        <v>114</v>
      </c>
      <c r="C104" s="45"/>
      <c r="D104" s="133">
        <f>Produksi!F110</f>
        <v>0</v>
      </c>
      <c r="E104" s="333">
        <f>Stok!L109</f>
        <v>0</v>
      </c>
      <c r="F104" s="134">
        <f>'Impor_Pangan Masuk'!F111+'ESTIMASI  Ekspor Impor'!J104</f>
        <v>500</v>
      </c>
      <c r="G104" s="134">
        <f>'Ekspor_Pangan Keluar'!F111+'ESTIMASI  Ekspor Impor'!K104</f>
        <v>0</v>
      </c>
      <c r="H104" s="134">
        <f t="shared" si="6"/>
        <v>500</v>
      </c>
      <c r="I104" s="134">
        <f>'Pemakaian Dalam Negeri REVISI'!E104</f>
        <v>0</v>
      </c>
      <c r="J104" s="134">
        <f>'Pemakaian Dalam Negeri REVISI'!F104</f>
        <v>0</v>
      </c>
      <c r="K104" s="134">
        <f>'Pemakaian Dalam Negeri REVISI'!G104</f>
        <v>0</v>
      </c>
      <c r="L104" s="134">
        <f>'Pemakaian Dalam Negeri REVISI'!H104</f>
        <v>12.05</v>
      </c>
      <c r="M104" s="134">
        <f>'Pemakaian Dalam Negeri REVISI'!I104</f>
        <v>0</v>
      </c>
      <c r="N104" s="134">
        <f>'Pemakaian Dalam Negeri REVISI'!J104</f>
        <v>487.95</v>
      </c>
      <c r="O104" s="126">
        <f t="shared" si="7"/>
        <v>1.9667076439410736</v>
      </c>
      <c r="P104" s="126">
        <f t="shared" si="8"/>
        <v>5.3882401203865031</v>
      </c>
      <c r="Q104" s="122">
        <f t="shared" si="9"/>
        <v>6.3139397730689035</v>
      </c>
      <c r="R104" s="126">
        <f t="shared" si="10"/>
        <v>0.28412728978810065</v>
      </c>
      <c r="S104" s="127">
        <f t="shared" si="11"/>
        <v>4.5099569807635024E-3</v>
      </c>
      <c r="T104" s="579">
        <v>93</v>
      </c>
      <c r="U104" s="578">
        <v>126</v>
      </c>
      <c r="V104" s="578">
        <v>5.67</v>
      </c>
      <c r="W104" s="577">
        <v>0.09</v>
      </c>
      <c r="X104" s="171"/>
      <c r="Y104" s="187"/>
      <c r="Z104" s="187"/>
      <c r="AA104" s="187"/>
      <c r="AB104" s="187"/>
      <c r="AC104" s="364"/>
      <c r="AE104" s="351">
        <v>95</v>
      </c>
      <c r="AF104" s="351">
        <v>192</v>
      </c>
      <c r="AG104" s="351">
        <v>5.4</v>
      </c>
      <c r="AH104" s="351">
        <v>0.3</v>
      </c>
    </row>
    <row r="105" spans="1:34" ht="14.1" customHeight="1" x14ac:dyDescent="0.2">
      <c r="A105" s="297">
        <v>82</v>
      </c>
      <c r="B105" s="293" t="s">
        <v>115</v>
      </c>
      <c r="C105" s="45"/>
      <c r="D105" s="133">
        <f>Produksi!F111</f>
        <v>0</v>
      </c>
      <c r="E105" s="333">
        <f>Stok!L110</f>
        <v>0</v>
      </c>
      <c r="F105" s="134">
        <f>'Impor_Pangan Masuk'!F112+'ESTIMASI  Ekspor Impor'!J105</f>
        <v>0</v>
      </c>
      <c r="G105" s="134">
        <f>'Ekspor_Pangan Keluar'!F112+'ESTIMASI  Ekspor Impor'!K105</f>
        <v>0</v>
      </c>
      <c r="H105" s="134">
        <f t="shared" si="6"/>
        <v>0</v>
      </c>
      <c r="I105" s="134">
        <f>'Pemakaian Dalam Negeri REVISI'!E105</f>
        <v>0</v>
      </c>
      <c r="J105" s="134">
        <f>'Pemakaian Dalam Negeri REVISI'!F105</f>
        <v>0</v>
      </c>
      <c r="K105" s="134">
        <f>'Pemakaian Dalam Negeri REVISI'!G105</f>
        <v>0</v>
      </c>
      <c r="L105" s="134">
        <f>'Pemakaian Dalam Negeri REVISI'!H105</f>
        <v>0</v>
      </c>
      <c r="M105" s="134">
        <f>'Pemakaian Dalam Negeri REVISI'!I105</f>
        <v>0</v>
      </c>
      <c r="N105" s="134">
        <f>'Pemakaian Dalam Negeri REVISI'!J105</f>
        <v>0</v>
      </c>
      <c r="O105" s="126">
        <f t="shared" si="7"/>
        <v>0</v>
      </c>
      <c r="P105" s="126">
        <f t="shared" si="8"/>
        <v>0</v>
      </c>
      <c r="Q105" s="122">
        <f t="shared" si="9"/>
        <v>0</v>
      </c>
      <c r="R105" s="126">
        <f t="shared" si="10"/>
        <v>0</v>
      </c>
      <c r="S105" s="127">
        <f t="shared" si="11"/>
        <v>0</v>
      </c>
      <c r="T105" s="576">
        <v>85</v>
      </c>
      <c r="U105" s="575">
        <v>28.5</v>
      </c>
      <c r="V105" s="575">
        <v>24.96</v>
      </c>
      <c r="W105" s="574">
        <v>0.59</v>
      </c>
      <c r="X105" s="187"/>
      <c r="Y105" s="187"/>
      <c r="Z105" s="187"/>
      <c r="AA105" s="187"/>
      <c r="AB105" s="187"/>
      <c r="AC105" s="364"/>
      <c r="AE105" s="353"/>
      <c r="AF105" s="353"/>
      <c r="AG105" s="353"/>
      <c r="AH105" s="353"/>
    </row>
    <row r="106" spans="1:34" ht="14.1" customHeight="1" x14ac:dyDescent="0.2">
      <c r="A106" s="297">
        <v>83</v>
      </c>
      <c r="B106" s="293" t="s">
        <v>23</v>
      </c>
      <c r="C106" s="45"/>
      <c r="D106" s="133">
        <f>Produksi!F112</f>
        <v>0</v>
      </c>
      <c r="E106" s="333">
        <f>Stok!L111</f>
        <v>0</v>
      </c>
      <c r="F106" s="134">
        <f>'Impor_Pangan Masuk'!F113+'ESTIMASI  Ekspor Impor'!J106</f>
        <v>0</v>
      </c>
      <c r="G106" s="134">
        <f>'Ekspor_Pangan Keluar'!F113+'ESTIMASI  Ekspor Impor'!K106</f>
        <v>0</v>
      </c>
      <c r="H106" s="134">
        <f t="shared" si="6"/>
        <v>0</v>
      </c>
      <c r="I106" s="134">
        <f>'Pemakaian Dalam Negeri REVISI'!E106</f>
        <v>0</v>
      </c>
      <c r="J106" s="134">
        <f>'Pemakaian Dalam Negeri REVISI'!F106</f>
        <v>0</v>
      </c>
      <c r="K106" s="134">
        <f>'Pemakaian Dalam Negeri REVISI'!G106</f>
        <v>0</v>
      </c>
      <c r="L106" s="134">
        <f>'Pemakaian Dalam Negeri REVISI'!H106</f>
        <v>0</v>
      </c>
      <c r="M106" s="134">
        <f>'Pemakaian Dalam Negeri REVISI'!I106</f>
        <v>0</v>
      </c>
      <c r="N106" s="134">
        <f>'Pemakaian Dalam Negeri REVISI'!J106</f>
        <v>0</v>
      </c>
      <c r="O106" s="126">
        <f t="shared" si="7"/>
        <v>0</v>
      </c>
      <c r="P106" s="126">
        <f t="shared" si="8"/>
        <v>0</v>
      </c>
      <c r="Q106" s="122">
        <f t="shared" si="9"/>
        <v>0</v>
      </c>
      <c r="R106" s="126">
        <f t="shared" si="10"/>
        <v>0</v>
      </c>
      <c r="S106" s="127">
        <f t="shared" si="11"/>
        <v>0</v>
      </c>
      <c r="T106" s="576">
        <v>100</v>
      </c>
      <c r="U106" s="575">
        <v>98</v>
      </c>
      <c r="V106" s="575">
        <v>6.7</v>
      </c>
      <c r="W106" s="574">
        <v>0.4</v>
      </c>
      <c r="X106" s="187"/>
      <c r="Y106" s="187"/>
      <c r="Z106" s="187"/>
      <c r="AA106" s="187"/>
      <c r="AB106" s="187"/>
      <c r="AC106" s="364"/>
      <c r="AE106" s="351">
        <v>45</v>
      </c>
      <c r="AF106" s="351">
        <v>98</v>
      </c>
      <c r="AG106" s="351">
        <v>6.7</v>
      </c>
      <c r="AH106" s="351">
        <v>0.4</v>
      </c>
    </row>
    <row r="107" spans="1:34" ht="14.1" customHeight="1" x14ac:dyDescent="0.2">
      <c r="A107" s="297">
        <v>84</v>
      </c>
      <c r="B107" s="293" t="s">
        <v>24</v>
      </c>
      <c r="C107" s="45"/>
      <c r="D107" s="133">
        <f>Produksi!F113</f>
        <v>0</v>
      </c>
      <c r="E107" s="333">
        <f>Stok!L112</f>
        <v>0</v>
      </c>
      <c r="F107" s="134">
        <f>'Impor_Pangan Masuk'!F114+'ESTIMASI  Ekspor Impor'!J107</f>
        <v>0</v>
      </c>
      <c r="G107" s="134">
        <f>'Ekspor_Pangan Keluar'!F114+'ESTIMASI  Ekspor Impor'!K107</f>
        <v>0</v>
      </c>
      <c r="H107" s="134">
        <f t="shared" si="6"/>
        <v>0</v>
      </c>
      <c r="I107" s="134">
        <f>'Pemakaian Dalam Negeri REVISI'!E107</f>
        <v>0</v>
      </c>
      <c r="J107" s="134">
        <f>'Pemakaian Dalam Negeri REVISI'!F107</f>
        <v>0</v>
      </c>
      <c r="K107" s="134">
        <f>'Pemakaian Dalam Negeri REVISI'!G107</f>
        <v>0</v>
      </c>
      <c r="L107" s="134">
        <f>'Pemakaian Dalam Negeri REVISI'!H107</f>
        <v>0</v>
      </c>
      <c r="M107" s="134">
        <f>'Pemakaian Dalam Negeri REVISI'!I107</f>
        <v>0</v>
      </c>
      <c r="N107" s="134">
        <f>'Pemakaian Dalam Negeri REVISI'!J107</f>
        <v>0</v>
      </c>
      <c r="O107" s="126">
        <f t="shared" si="7"/>
        <v>0</v>
      </c>
      <c r="P107" s="126">
        <f t="shared" si="8"/>
        <v>0</v>
      </c>
      <c r="Q107" s="122">
        <f t="shared" si="9"/>
        <v>0</v>
      </c>
      <c r="R107" s="126">
        <f t="shared" si="10"/>
        <v>0</v>
      </c>
      <c r="S107" s="127">
        <f t="shared" si="11"/>
        <v>0</v>
      </c>
      <c r="T107" s="576">
        <v>100</v>
      </c>
      <c r="U107" s="575">
        <v>18</v>
      </c>
      <c r="V107" s="575">
        <v>1.2</v>
      </c>
      <c r="W107" s="574">
        <v>0.2</v>
      </c>
      <c r="X107" s="187"/>
      <c r="Y107" s="187"/>
      <c r="Z107" s="187"/>
      <c r="AA107" s="187"/>
      <c r="AB107" s="187"/>
      <c r="AC107" s="364"/>
      <c r="AE107" s="351">
        <v>69</v>
      </c>
      <c r="AF107" s="351">
        <v>18</v>
      </c>
      <c r="AG107" s="351">
        <v>1.2</v>
      </c>
      <c r="AH107" s="351">
        <v>0.2</v>
      </c>
    </row>
    <row r="108" spans="1:34" ht="14.1" customHeight="1" x14ac:dyDescent="0.2">
      <c r="A108" s="297">
        <v>85</v>
      </c>
      <c r="B108" s="293" t="s">
        <v>25</v>
      </c>
      <c r="C108" s="45"/>
      <c r="D108" s="133">
        <f>Produksi!F114</f>
        <v>0</v>
      </c>
      <c r="E108" s="333">
        <f>Stok!L113</f>
        <v>0</v>
      </c>
      <c r="F108" s="134">
        <f>'Impor_Pangan Masuk'!F115+'ESTIMASI  Ekspor Impor'!J108</f>
        <v>0</v>
      </c>
      <c r="G108" s="134">
        <f>'Ekspor_Pangan Keluar'!F115+'ESTIMASI  Ekspor Impor'!K108</f>
        <v>0</v>
      </c>
      <c r="H108" s="134">
        <f t="shared" si="6"/>
        <v>0</v>
      </c>
      <c r="I108" s="134">
        <f>'Pemakaian Dalam Negeri REVISI'!E108</f>
        <v>0</v>
      </c>
      <c r="J108" s="134">
        <f>'Pemakaian Dalam Negeri REVISI'!F108</f>
        <v>0</v>
      </c>
      <c r="K108" s="134">
        <f>'Pemakaian Dalam Negeri REVISI'!G108</f>
        <v>0</v>
      </c>
      <c r="L108" s="134">
        <f>'Pemakaian Dalam Negeri REVISI'!H108</f>
        <v>0</v>
      </c>
      <c r="M108" s="134">
        <f>'Pemakaian Dalam Negeri REVISI'!I108</f>
        <v>0</v>
      </c>
      <c r="N108" s="134">
        <f>'Pemakaian Dalam Negeri REVISI'!J108</f>
        <v>0</v>
      </c>
      <c r="O108" s="126">
        <f t="shared" si="7"/>
        <v>0</v>
      </c>
      <c r="P108" s="126">
        <f t="shared" si="8"/>
        <v>0</v>
      </c>
      <c r="Q108" s="122">
        <f t="shared" si="9"/>
        <v>0</v>
      </c>
      <c r="R108" s="126">
        <f t="shared" si="10"/>
        <v>0</v>
      </c>
      <c r="S108" s="127">
        <f t="shared" si="11"/>
        <v>0</v>
      </c>
      <c r="T108" s="576">
        <v>100</v>
      </c>
      <c r="U108" s="575">
        <v>100</v>
      </c>
      <c r="V108" s="575">
        <v>23</v>
      </c>
      <c r="W108" s="574">
        <v>2.6</v>
      </c>
      <c r="X108" s="187"/>
      <c r="Y108" s="187"/>
      <c r="Z108" s="187"/>
      <c r="AA108" s="187"/>
      <c r="AB108" s="187"/>
      <c r="AC108" s="364"/>
      <c r="AE108" s="353"/>
      <c r="AF108" s="353"/>
      <c r="AG108" s="353"/>
      <c r="AH108" s="353"/>
    </row>
    <row r="109" spans="1:34" ht="14.1" customHeight="1" x14ac:dyDescent="0.2">
      <c r="A109" s="297">
        <v>86</v>
      </c>
      <c r="B109" s="293" t="s">
        <v>26</v>
      </c>
      <c r="C109" s="45"/>
      <c r="D109" s="133">
        <f>Produksi!F115</f>
        <v>0</v>
      </c>
      <c r="E109" s="333">
        <f>Stok!L114</f>
        <v>0</v>
      </c>
      <c r="F109" s="134">
        <f>'Impor_Pangan Masuk'!F116+'ESTIMASI  Ekspor Impor'!J109</f>
        <v>0</v>
      </c>
      <c r="G109" s="134">
        <f>'Ekspor_Pangan Keluar'!F116+'ESTIMASI  Ekspor Impor'!K109</f>
        <v>0</v>
      </c>
      <c r="H109" s="134">
        <f t="shared" si="6"/>
        <v>0</v>
      </c>
      <c r="I109" s="134">
        <f>'Pemakaian Dalam Negeri REVISI'!E109</f>
        <v>0</v>
      </c>
      <c r="J109" s="134">
        <f>'Pemakaian Dalam Negeri REVISI'!F109</f>
        <v>0</v>
      </c>
      <c r="K109" s="134">
        <f>'Pemakaian Dalam Negeri REVISI'!G109</f>
        <v>0</v>
      </c>
      <c r="L109" s="134">
        <f>'Pemakaian Dalam Negeri REVISI'!H109</f>
        <v>0</v>
      </c>
      <c r="M109" s="134">
        <f>'Pemakaian Dalam Negeri REVISI'!I109</f>
        <v>0</v>
      </c>
      <c r="N109" s="134">
        <f>'Pemakaian Dalam Negeri REVISI'!J109</f>
        <v>0</v>
      </c>
      <c r="O109" s="126">
        <f t="shared" si="7"/>
        <v>0</v>
      </c>
      <c r="P109" s="126">
        <f t="shared" si="8"/>
        <v>0</v>
      </c>
      <c r="Q109" s="122">
        <f t="shared" si="9"/>
        <v>0</v>
      </c>
      <c r="R109" s="126">
        <f t="shared" si="10"/>
        <v>0</v>
      </c>
      <c r="S109" s="127">
        <f t="shared" si="11"/>
        <v>0</v>
      </c>
      <c r="T109" s="576">
        <v>100</v>
      </c>
      <c r="U109" s="575">
        <v>23</v>
      </c>
      <c r="V109" s="575">
        <v>1</v>
      </c>
      <c r="W109" s="574">
        <v>0.1</v>
      </c>
      <c r="X109" s="187"/>
      <c r="Y109" s="187"/>
      <c r="Z109" s="187"/>
      <c r="AA109" s="187"/>
      <c r="AB109" s="187"/>
      <c r="AC109" s="364"/>
      <c r="AE109" s="351">
        <v>63</v>
      </c>
      <c r="AF109" s="351">
        <v>23</v>
      </c>
      <c r="AG109" s="351">
        <v>1</v>
      </c>
      <c r="AH109" s="351">
        <v>4.5999999999999996</v>
      </c>
    </row>
    <row r="110" spans="1:34" ht="14.1" customHeight="1" x14ac:dyDescent="0.2">
      <c r="A110" s="297">
        <v>87</v>
      </c>
      <c r="B110" s="282" t="s">
        <v>173</v>
      </c>
      <c r="C110" s="45"/>
      <c r="D110" s="133">
        <f>Produksi!F116</f>
        <v>0</v>
      </c>
      <c r="E110" s="333">
        <f>Stok!L115</f>
        <v>0</v>
      </c>
      <c r="F110" s="134">
        <f>'Impor_Pangan Masuk'!F117+'ESTIMASI  Ekspor Impor'!J110</f>
        <v>0</v>
      </c>
      <c r="G110" s="134">
        <f>'Ekspor_Pangan Keluar'!F117+'ESTIMASI  Ekspor Impor'!K110</f>
        <v>0</v>
      </c>
      <c r="H110" s="134">
        <f t="shared" si="6"/>
        <v>0</v>
      </c>
      <c r="I110" s="134">
        <f>'Pemakaian Dalam Negeri REVISI'!E110</f>
        <v>0</v>
      </c>
      <c r="J110" s="134">
        <f>'Pemakaian Dalam Negeri REVISI'!F110</f>
        <v>0</v>
      </c>
      <c r="K110" s="134">
        <f>'Pemakaian Dalam Negeri REVISI'!G110</f>
        <v>0</v>
      </c>
      <c r="L110" s="134">
        <f>'Pemakaian Dalam Negeri REVISI'!H110</f>
        <v>0</v>
      </c>
      <c r="M110" s="134">
        <f>'Pemakaian Dalam Negeri REVISI'!I110</f>
        <v>0</v>
      </c>
      <c r="N110" s="134">
        <f>'Pemakaian Dalam Negeri REVISI'!J110</f>
        <v>0</v>
      </c>
      <c r="O110" s="126">
        <f t="shared" si="7"/>
        <v>0</v>
      </c>
      <c r="P110" s="126">
        <f t="shared" si="8"/>
        <v>0</v>
      </c>
      <c r="Q110" s="122">
        <f t="shared" si="9"/>
        <v>0</v>
      </c>
      <c r="R110" s="126">
        <f t="shared" si="10"/>
        <v>0</v>
      </c>
      <c r="S110" s="127">
        <f t="shared" si="11"/>
        <v>0</v>
      </c>
      <c r="T110" s="576">
        <v>100</v>
      </c>
      <c r="U110" s="575">
        <f>AVERAGE(U78:U109)</f>
        <v>49.431874999999991</v>
      </c>
      <c r="V110" s="575">
        <f>AVERAGE(V78:V109)</f>
        <v>4.1725624999999997</v>
      </c>
      <c r="W110" s="574">
        <f>AVERAGE(W78:W109)</f>
        <v>0.51156249999999992</v>
      </c>
      <c r="X110" s="187"/>
      <c r="Y110" s="187"/>
      <c r="Z110" s="187"/>
      <c r="AA110" s="187"/>
      <c r="AB110" s="187"/>
      <c r="AC110" s="364"/>
      <c r="AE110" s="56"/>
      <c r="AF110" s="56"/>
      <c r="AG110" s="56"/>
      <c r="AH110" s="56"/>
    </row>
    <row r="111" spans="1:34" ht="14.1" customHeight="1" x14ac:dyDescent="0.2">
      <c r="A111" s="297"/>
      <c r="B111" s="282"/>
      <c r="C111" s="282"/>
      <c r="D111" s="133"/>
      <c r="E111" s="333"/>
      <c r="F111" s="134">
        <f>'Impor_Pangan Masuk'!F118+'ESTIMASI  Ekspor Impor'!J111</f>
        <v>0</v>
      </c>
      <c r="G111" s="134">
        <f>'Ekspor_Pangan Keluar'!F118+'ESTIMASI  Ekspor Impor'!K111</f>
        <v>0</v>
      </c>
      <c r="H111" s="134"/>
      <c r="I111" s="134"/>
      <c r="J111" s="134"/>
      <c r="K111" s="134"/>
      <c r="L111" s="134"/>
      <c r="M111" s="134"/>
      <c r="N111" s="134"/>
      <c r="O111" s="126"/>
      <c r="P111" s="126"/>
      <c r="Q111" s="122"/>
      <c r="R111" s="126"/>
      <c r="S111" s="127"/>
      <c r="T111" s="576"/>
      <c r="U111" s="575"/>
      <c r="V111" s="575"/>
      <c r="W111" s="574"/>
      <c r="X111" s="187"/>
      <c r="Y111" s="187"/>
      <c r="Z111" s="187"/>
      <c r="AA111" s="187"/>
      <c r="AB111" s="187"/>
      <c r="AC111" s="364"/>
      <c r="AE111" s="56"/>
      <c r="AF111" s="56"/>
      <c r="AG111" s="56"/>
      <c r="AH111" s="56"/>
    </row>
    <row r="112" spans="1:34" ht="14.1" customHeight="1" thickBot="1" x14ac:dyDescent="0.25">
      <c r="A112" s="295" t="s">
        <v>116</v>
      </c>
      <c r="B112" s="293"/>
      <c r="C112" s="282"/>
      <c r="D112" s="133"/>
      <c r="E112" s="333"/>
      <c r="F112" s="134">
        <f>'Impor_Pangan Masuk'!F119+'ESTIMASI  Ekspor Impor'!J112</f>
        <v>0</v>
      </c>
      <c r="G112" s="134">
        <f>'Ekspor_Pangan Keluar'!F119+'ESTIMASI  Ekspor Impor'!K112</f>
        <v>0</v>
      </c>
      <c r="H112" s="134"/>
      <c r="I112" s="134"/>
      <c r="J112" s="134"/>
      <c r="K112" s="134"/>
      <c r="L112" s="134"/>
      <c r="M112" s="134"/>
      <c r="N112" s="134"/>
      <c r="O112" s="126"/>
      <c r="P112" s="126"/>
      <c r="Q112" s="567">
        <f>SUM(Q113:Q123)</f>
        <v>260.41194716837475</v>
      </c>
      <c r="R112" s="340">
        <f>SUM(R113:R123)</f>
        <v>17.975352711075583</v>
      </c>
      <c r="S112" s="340">
        <f>SUM(S113:S123)</f>
        <v>20.404220209519895</v>
      </c>
      <c r="T112" s="576"/>
      <c r="U112" s="575"/>
      <c r="V112" s="575"/>
      <c r="W112" s="574"/>
      <c r="X112" s="187"/>
      <c r="Y112" s="187"/>
      <c r="Z112" s="187"/>
      <c r="AA112" s="187"/>
      <c r="AB112" s="187"/>
      <c r="AC112" s="364"/>
      <c r="AE112" s="56"/>
      <c r="AF112" s="56"/>
      <c r="AG112" s="56"/>
      <c r="AH112" s="56"/>
    </row>
    <row r="113" spans="1:34" ht="14.1" customHeight="1" x14ac:dyDescent="0.2">
      <c r="A113" s="297">
        <v>88</v>
      </c>
      <c r="B113" s="282" t="s">
        <v>117</v>
      </c>
      <c r="C113" s="45"/>
      <c r="D113" s="133">
        <f>Produksi!F119</f>
        <v>1282.0047144740035</v>
      </c>
      <c r="E113" s="333">
        <f>Stok!L118</f>
        <v>0</v>
      </c>
      <c r="F113" s="134">
        <f>'Impor_Pangan Masuk'!F120+'ESTIMASI  Ekspor Impor'!J113</f>
        <v>513</v>
      </c>
      <c r="G113" s="134">
        <f>'Ekspor_Pangan Keluar'!F120+'ESTIMASI  Ekspor Impor'!K113</f>
        <v>0</v>
      </c>
      <c r="H113" s="134">
        <f t="shared" ref="H113:H123" si="12">D113-E113+F113-G113</f>
        <v>1795.0047144740035</v>
      </c>
      <c r="I113" s="134">
        <f>'Pemakaian Dalam Negeri REVISI'!E113</f>
        <v>0</v>
      </c>
      <c r="J113" s="134">
        <f>'Pemakaian Dalam Negeri REVISI'!F113</f>
        <v>0</v>
      </c>
      <c r="K113" s="134">
        <f>'Pemakaian Dalam Negeri REVISI'!G113</f>
        <v>0</v>
      </c>
      <c r="L113" s="134">
        <f>'Pemakaian Dalam Negeri REVISI'!H113</f>
        <v>1.4360037715792029</v>
      </c>
      <c r="M113" s="134">
        <f>'Pemakaian Dalam Negeri REVISI'!I113</f>
        <v>0</v>
      </c>
      <c r="N113" s="134">
        <f>'Pemakaian Dalam Negeri REVISI'!J113</f>
        <v>1793.5687107024244</v>
      </c>
      <c r="O113" s="126">
        <f t="shared" ref="O113:O123" si="13">(N113+K113)/$Q$4*1000</f>
        <v>7.2290712025248354</v>
      </c>
      <c r="P113" s="126">
        <f t="shared" ref="P113:P123" si="14">O113/365*1000</f>
        <v>19.805674527465303</v>
      </c>
      <c r="Q113" s="568">
        <f t="shared" ref="Q113:Q123" si="15">P113/100*T113/100*U113</f>
        <v>40.997746271853174</v>
      </c>
      <c r="R113" s="177">
        <f t="shared" ref="R113:R123" si="16">P113/100*T113/100*V113</f>
        <v>3.723466811163477</v>
      </c>
      <c r="S113" s="178">
        <f t="shared" ref="S113:S123" si="17">P113/100*T113/100*W113</f>
        <v>2.7727944338451422</v>
      </c>
      <c r="T113" s="576">
        <v>100</v>
      </c>
      <c r="U113" s="575">
        <v>207</v>
      </c>
      <c r="V113" s="575">
        <v>18.8</v>
      </c>
      <c r="W113" s="574">
        <v>14</v>
      </c>
      <c r="X113" s="187">
        <v>30</v>
      </c>
      <c r="Y113" s="187">
        <v>0.08</v>
      </c>
      <c r="Z113" s="187">
        <v>0</v>
      </c>
      <c r="AA113" s="187">
        <v>11</v>
      </c>
      <c r="AB113" s="187">
        <v>170</v>
      </c>
      <c r="AC113" s="364">
        <v>2.8</v>
      </c>
      <c r="AE113" s="56">
        <v>100</v>
      </c>
      <c r="AF113" s="56">
        <v>201</v>
      </c>
      <c r="AG113" s="56">
        <v>18.8</v>
      </c>
      <c r="AH113" s="56">
        <v>14</v>
      </c>
    </row>
    <row r="114" spans="1:34" ht="14.1" customHeight="1" x14ac:dyDescent="0.2">
      <c r="A114" s="297">
        <v>89</v>
      </c>
      <c r="B114" s="282" t="s">
        <v>118</v>
      </c>
      <c r="C114" s="45"/>
      <c r="D114" s="133">
        <f>Produksi!F122</f>
        <v>138.70531953751254</v>
      </c>
      <c r="E114" s="333">
        <f>Stok!L119</f>
        <v>0</v>
      </c>
      <c r="F114" s="134">
        <f>'Impor_Pangan Masuk'!F121+'ESTIMASI  Ekspor Impor'!J114</f>
        <v>150</v>
      </c>
      <c r="G114" s="134">
        <f>'Ekspor_Pangan Keluar'!F121+'ESTIMASI  Ekspor Impor'!K114</f>
        <v>0</v>
      </c>
      <c r="H114" s="134">
        <f t="shared" si="12"/>
        <v>288.70531953751254</v>
      </c>
      <c r="I114" s="134">
        <f>'Pemakaian Dalam Negeri REVISI'!E114</f>
        <v>0</v>
      </c>
      <c r="J114" s="134">
        <f>'Pemakaian Dalam Negeri REVISI'!F114</f>
        <v>0</v>
      </c>
      <c r="K114" s="134">
        <f>'Pemakaian Dalam Negeri REVISI'!G114</f>
        <v>0</v>
      </c>
      <c r="L114" s="134">
        <f>'Pemakaian Dalam Negeri REVISI'!H114</f>
        <v>0.23096425563001005</v>
      </c>
      <c r="M114" s="134">
        <f>'Pemakaian Dalam Negeri REVISI'!I114</f>
        <v>0</v>
      </c>
      <c r="N114" s="134">
        <f>'Pemakaian Dalam Negeri REVISI'!J114</f>
        <v>288.47435528188254</v>
      </c>
      <c r="O114" s="126">
        <f t="shared" si="13"/>
        <v>1.1627107687546907</v>
      </c>
      <c r="P114" s="126">
        <f t="shared" si="14"/>
        <v>3.1855089554923035</v>
      </c>
      <c r="Q114" s="122">
        <f t="shared" si="15"/>
        <v>2.6758275226135351</v>
      </c>
      <c r="R114" s="126">
        <f t="shared" si="16"/>
        <v>0.59569017467706076</v>
      </c>
      <c r="S114" s="127">
        <f t="shared" si="17"/>
        <v>1.5927544777461517E-2</v>
      </c>
      <c r="T114" s="576">
        <v>100</v>
      </c>
      <c r="U114" s="575">
        <v>84</v>
      </c>
      <c r="V114" s="575">
        <v>18.7</v>
      </c>
      <c r="W114" s="574">
        <v>0.5</v>
      </c>
      <c r="X114" s="187">
        <v>0</v>
      </c>
      <c r="Y114" s="187">
        <v>0.02</v>
      </c>
      <c r="Z114" s="187">
        <v>0</v>
      </c>
      <c r="AA114" s="187">
        <v>7</v>
      </c>
      <c r="AB114" s="187">
        <v>151</v>
      </c>
      <c r="AC114" s="364">
        <v>2</v>
      </c>
      <c r="AE114" s="56">
        <v>100</v>
      </c>
      <c r="AF114" s="56">
        <v>79</v>
      </c>
      <c r="AG114" s="56">
        <v>18.7</v>
      </c>
      <c r="AH114" s="56">
        <v>0.5</v>
      </c>
    </row>
    <row r="115" spans="1:34" ht="14.1" customHeight="1" x14ac:dyDescent="0.2">
      <c r="A115" s="297">
        <v>90</v>
      </c>
      <c r="B115" s="282" t="s">
        <v>119</v>
      </c>
      <c r="C115" s="45"/>
      <c r="D115" s="133">
        <f>Produksi!F123</f>
        <v>43.426272003714594</v>
      </c>
      <c r="E115" s="333">
        <f>Stok!L120</f>
        <v>0</v>
      </c>
      <c r="F115" s="134">
        <f>'Impor_Pangan Masuk'!F122+'ESTIMASI  Ekspor Impor'!J115</f>
        <v>0</v>
      </c>
      <c r="G115" s="134">
        <f>'Ekspor_Pangan Keluar'!F122+'ESTIMASI  Ekspor Impor'!K115</f>
        <v>0</v>
      </c>
      <c r="H115" s="134">
        <f t="shared" si="12"/>
        <v>43.426272003714594</v>
      </c>
      <c r="I115" s="134">
        <f>'Pemakaian Dalam Negeri REVISI'!E115</f>
        <v>0</v>
      </c>
      <c r="J115" s="134">
        <f>'Pemakaian Dalam Negeri REVISI'!F115</f>
        <v>0</v>
      </c>
      <c r="K115" s="134">
        <f>'Pemakaian Dalam Negeri REVISI'!G115</f>
        <v>0</v>
      </c>
      <c r="L115" s="134">
        <f>'Pemakaian Dalam Negeri REVISI'!H115</f>
        <v>3.4741017602971679E-2</v>
      </c>
      <c r="M115" s="134">
        <f>'Pemakaian Dalam Negeri REVISI'!I115</f>
        <v>0</v>
      </c>
      <c r="N115" s="134">
        <f>'Pemakaian Dalam Negeri REVISI'!J115</f>
        <v>43.391530986111626</v>
      </c>
      <c r="O115" s="126">
        <f t="shared" si="13"/>
        <v>0.17489180381738226</v>
      </c>
      <c r="P115" s="126">
        <f t="shared" si="14"/>
        <v>0.47915562689693769</v>
      </c>
      <c r="Q115" s="122">
        <f t="shared" si="15"/>
        <v>0.73789966542128405</v>
      </c>
      <c r="R115" s="126">
        <f t="shared" si="16"/>
        <v>7.9539834064891665E-2</v>
      </c>
      <c r="S115" s="127">
        <f t="shared" si="17"/>
        <v>4.4082317674518263E-2</v>
      </c>
      <c r="T115" s="576">
        <v>100</v>
      </c>
      <c r="U115" s="575">
        <v>154</v>
      </c>
      <c r="V115" s="575">
        <v>16.600000000000001</v>
      </c>
      <c r="W115" s="574">
        <v>9.1999999999999993</v>
      </c>
      <c r="X115" s="187">
        <v>0</v>
      </c>
      <c r="Y115" s="187">
        <v>0.09</v>
      </c>
      <c r="Z115" s="187">
        <v>0</v>
      </c>
      <c r="AA115" s="187">
        <v>11</v>
      </c>
      <c r="AB115" s="187">
        <v>124</v>
      </c>
      <c r="AC115" s="364">
        <v>1</v>
      </c>
      <c r="AE115" s="56">
        <v>100</v>
      </c>
      <c r="AF115" s="56">
        <v>149</v>
      </c>
      <c r="AG115" s="56">
        <v>46.6</v>
      </c>
      <c r="AH115" s="56">
        <v>9.1999999999999993</v>
      </c>
    </row>
    <row r="116" spans="1:34" ht="14.1" customHeight="1" x14ac:dyDescent="0.2">
      <c r="A116" s="297">
        <v>91</v>
      </c>
      <c r="B116" s="282" t="s">
        <v>120</v>
      </c>
      <c r="C116" s="45"/>
      <c r="D116" s="133">
        <f>Produksi!F124</f>
        <v>0</v>
      </c>
      <c r="E116" s="333">
        <f>Stok!L121</f>
        <v>0</v>
      </c>
      <c r="F116" s="134">
        <f>'Impor_Pangan Masuk'!F123+'ESTIMASI  Ekspor Impor'!J116</f>
        <v>0</v>
      </c>
      <c r="G116" s="134">
        <f>'Ekspor_Pangan Keluar'!F123+'ESTIMASI  Ekspor Impor'!K116</f>
        <v>0</v>
      </c>
      <c r="H116" s="134">
        <f t="shared" si="12"/>
        <v>0</v>
      </c>
      <c r="I116" s="134">
        <f>'Pemakaian Dalam Negeri REVISI'!E116</f>
        <v>0</v>
      </c>
      <c r="J116" s="134">
        <f>'Pemakaian Dalam Negeri REVISI'!F116</f>
        <v>0</v>
      </c>
      <c r="K116" s="134">
        <f>'Pemakaian Dalam Negeri REVISI'!G116</f>
        <v>0</v>
      </c>
      <c r="L116" s="134">
        <f>'Pemakaian Dalam Negeri REVISI'!H116</f>
        <v>0</v>
      </c>
      <c r="M116" s="134">
        <f>'Pemakaian Dalam Negeri REVISI'!I116</f>
        <v>0</v>
      </c>
      <c r="N116" s="134">
        <f>'Pemakaian Dalam Negeri REVISI'!J116</f>
        <v>0</v>
      </c>
      <c r="O116" s="126">
        <f t="shared" si="13"/>
        <v>0</v>
      </c>
      <c r="P116" s="126">
        <f t="shared" si="14"/>
        <v>0</v>
      </c>
      <c r="Q116" s="122">
        <f t="shared" si="15"/>
        <v>0</v>
      </c>
      <c r="R116" s="126">
        <f t="shared" si="16"/>
        <v>0</v>
      </c>
      <c r="S116" s="127">
        <f t="shared" si="17"/>
        <v>0</v>
      </c>
      <c r="T116" s="576">
        <v>100</v>
      </c>
      <c r="U116" s="575">
        <v>260</v>
      </c>
      <c r="V116" s="575">
        <v>16.399999999999999</v>
      </c>
      <c r="W116" s="574">
        <v>21.3</v>
      </c>
      <c r="X116" s="187">
        <v>0</v>
      </c>
      <c r="Y116" s="187">
        <v>0.15</v>
      </c>
      <c r="Z116" s="187">
        <v>0</v>
      </c>
      <c r="AA116" s="187">
        <v>10</v>
      </c>
      <c r="AB116" s="187">
        <v>191</v>
      </c>
      <c r="AC116" s="364">
        <v>2.6</v>
      </c>
      <c r="AE116" s="56"/>
      <c r="AF116" s="56"/>
      <c r="AG116" s="56"/>
      <c r="AH116" s="56"/>
    </row>
    <row r="117" spans="1:34" ht="14.1" customHeight="1" x14ac:dyDescent="0.2">
      <c r="A117" s="297">
        <v>92</v>
      </c>
      <c r="B117" s="282" t="s">
        <v>121</v>
      </c>
      <c r="C117" s="45"/>
      <c r="D117" s="133">
        <f>Produksi!F125</f>
        <v>0</v>
      </c>
      <c r="E117" s="333">
        <f>Stok!L122</f>
        <v>0</v>
      </c>
      <c r="F117" s="134">
        <f>'Impor_Pangan Masuk'!F124+'ESTIMASI  Ekspor Impor'!J117</f>
        <v>0</v>
      </c>
      <c r="G117" s="134">
        <f>'Ekspor_Pangan Keluar'!F124+'ESTIMASI  Ekspor Impor'!K117</f>
        <v>0</v>
      </c>
      <c r="H117" s="134">
        <f t="shared" si="12"/>
        <v>0</v>
      </c>
      <c r="I117" s="134">
        <f>'Pemakaian Dalam Negeri REVISI'!E117</f>
        <v>0</v>
      </c>
      <c r="J117" s="134">
        <f>'Pemakaian Dalam Negeri REVISI'!F117</f>
        <v>0</v>
      </c>
      <c r="K117" s="134">
        <f>'Pemakaian Dalam Negeri REVISI'!G117</f>
        <v>0</v>
      </c>
      <c r="L117" s="134">
        <f>'Pemakaian Dalam Negeri REVISI'!H117</f>
        <v>0</v>
      </c>
      <c r="M117" s="134">
        <f>'Pemakaian Dalam Negeri REVISI'!I117</f>
        <v>0</v>
      </c>
      <c r="N117" s="134">
        <f>'Pemakaian Dalam Negeri REVISI'!J117</f>
        <v>0</v>
      </c>
      <c r="O117" s="126">
        <f t="shared" si="13"/>
        <v>0</v>
      </c>
      <c r="P117" s="126">
        <f t="shared" si="14"/>
        <v>0</v>
      </c>
      <c r="Q117" s="122">
        <f t="shared" si="15"/>
        <v>0</v>
      </c>
      <c r="R117" s="126">
        <f t="shared" si="16"/>
        <v>0</v>
      </c>
      <c r="S117" s="127">
        <f t="shared" si="17"/>
        <v>0</v>
      </c>
      <c r="T117" s="576">
        <v>100</v>
      </c>
      <c r="U117" s="575">
        <v>113</v>
      </c>
      <c r="V117" s="575">
        <v>18.100000000000001</v>
      </c>
      <c r="W117" s="574">
        <v>4.0999999999999996</v>
      </c>
      <c r="X117" s="187">
        <v>0</v>
      </c>
      <c r="Y117" s="187">
        <v>7.0000000000000007E-2</v>
      </c>
      <c r="Z117" s="187">
        <v>0</v>
      </c>
      <c r="AA117" s="187">
        <v>10</v>
      </c>
      <c r="AB117" s="187">
        <v>150</v>
      </c>
      <c r="AC117" s="364">
        <v>2.7</v>
      </c>
      <c r="AE117" s="56">
        <v>100</v>
      </c>
      <c r="AF117" s="56">
        <v>113</v>
      </c>
      <c r="AG117" s="56">
        <v>18.100000000000001</v>
      </c>
      <c r="AH117" s="56">
        <v>4.0999999999999996</v>
      </c>
    </row>
    <row r="118" spans="1:34" ht="14.1" customHeight="1" x14ac:dyDescent="0.2">
      <c r="A118" s="297">
        <v>93</v>
      </c>
      <c r="B118" s="282" t="s">
        <v>122</v>
      </c>
      <c r="C118" s="45"/>
      <c r="D118" s="133">
        <f>Produksi!F126</f>
        <v>0</v>
      </c>
      <c r="E118" s="333">
        <f>Stok!L123</f>
        <v>0</v>
      </c>
      <c r="F118" s="134">
        <f>'Impor_Pangan Masuk'!F125+'ESTIMASI  Ekspor Impor'!J118</f>
        <v>0</v>
      </c>
      <c r="G118" s="134">
        <f>'Ekspor_Pangan Keluar'!F125+'ESTIMASI  Ekspor Impor'!K118</f>
        <v>0</v>
      </c>
      <c r="H118" s="134">
        <f t="shared" si="12"/>
        <v>0</v>
      </c>
      <c r="I118" s="134">
        <f>'Pemakaian Dalam Negeri REVISI'!E118</f>
        <v>0</v>
      </c>
      <c r="J118" s="134">
        <f>'Pemakaian Dalam Negeri REVISI'!F118</f>
        <v>0</v>
      </c>
      <c r="K118" s="134">
        <f>'Pemakaian Dalam Negeri REVISI'!G118</f>
        <v>0</v>
      </c>
      <c r="L118" s="134">
        <f>'Pemakaian Dalam Negeri REVISI'!H118</f>
        <v>0</v>
      </c>
      <c r="M118" s="134">
        <f>'Pemakaian Dalam Negeri REVISI'!I118</f>
        <v>0</v>
      </c>
      <c r="N118" s="134">
        <f>'Pemakaian Dalam Negeri REVISI'!J118</f>
        <v>0</v>
      </c>
      <c r="O118" s="126">
        <f t="shared" si="13"/>
        <v>0</v>
      </c>
      <c r="P118" s="126">
        <f t="shared" si="14"/>
        <v>0</v>
      </c>
      <c r="Q118" s="122">
        <f t="shared" si="15"/>
        <v>0</v>
      </c>
      <c r="R118" s="126">
        <f t="shared" si="16"/>
        <v>0</v>
      </c>
      <c r="S118" s="127">
        <f t="shared" si="17"/>
        <v>0</v>
      </c>
      <c r="T118" s="576">
        <v>100</v>
      </c>
      <c r="U118" s="575">
        <v>416.5</v>
      </c>
      <c r="V118" s="575">
        <v>13</v>
      </c>
      <c r="W118" s="574">
        <v>40</v>
      </c>
      <c r="X118" s="187">
        <v>0</v>
      </c>
      <c r="Y118" s="187">
        <v>0.6</v>
      </c>
      <c r="Z118" s="187">
        <v>0</v>
      </c>
      <c r="AA118" s="187">
        <v>7.5</v>
      </c>
      <c r="AB118" s="187">
        <v>134</v>
      </c>
      <c r="AC118" s="364">
        <v>3.9</v>
      </c>
      <c r="AE118" s="56">
        <v>100</v>
      </c>
      <c r="AF118" s="56">
        <v>412</v>
      </c>
      <c r="AG118" s="56">
        <v>13</v>
      </c>
      <c r="AH118" s="56">
        <v>40</v>
      </c>
    </row>
    <row r="119" spans="1:34" ht="14.1" customHeight="1" x14ac:dyDescent="0.2">
      <c r="A119" s="297">
        <v>94</v>
      </c>
      <c r="B119" s="282" t="s">
        <v>123</v>
      </c>
      <c r="C119" s="45"/>
      <c r="D119" s="133">
        <f>Produksi!F127</f>
        <v>218.5047229722</v>
      </c>
      <c r="E119" s="333">
        <f>Stok!L124</f>
        <v>0</v>
      </c>
      <c r="F119" s="134">
        <f>'Impor_Pangan Masuk'!F126+'ESTIMASI  Ekspor Impor'!J119</f>
        <v>1500</v>
      </c>
      <c r="G119" s="134">
        <f>'Ekspor_Pangan Keluar'!F126+'ESTIMASI  Ekspor Impor'!K119</f>
        <v>0</v>
      </c>
      <c r="H119" s="134">
        <f t="shared" si="12"/>
        <v>1718.5047229721999</v>
      </c>
      <c r="I119" s="134">
        <f>'Pemakaian Dalam Negeri REVISI'!E119</f>
        <v>0</v>
      </c>
      <c r="J119" s="134">
        <f>'Pemakaian Dalam Negeri REVISI'!F119</f>
        <v>0</v>
      </c>
      <c r="K119" s="134">
        <f>'Pemakaian Dalam Negeri REVISI'!G119</f>
        <v>0</v>
      </c>
      <c r="L119" s="134">
        <f>'Pemakaian Dalam Negeri REVISI'!H119</f>
        <v>1.37480377837776</v>
      </c>
      <c r="M119" s="134">
        <f>'Pemakaian Dalam Negeri REVISI'!I119</f>
        <v>0</v>
      </c>
      <c r="N119" s="134">
        <f>'Pemakaian Dalam Negeri REVISI'!J119</f>
        <v>1717.1299191938222</v>
      </c>
      <c r="O119" s="126">
        <f t="shared" si="13"/>
        <v>6.9209807105613432</v>
      </c>
      <c r="P119" s="126">
        <f t="shared" si="14"/>
        <v>18.961590987839298</v>
      </c>
      <c r="Q119" s="122">
        <f t="shared" si="15"/>
        <v>33.213122774299315</v>
      </c>
      <c r="R119" s="126">
        <f t="shared" si="16"/>
        <v>2.001585544676316</v>
      </c>
      <c r="S119" s="127">
        <f t="shared" si="17"/>
        <v>2.7494306932366981</v>
      </c>
      <c r="T119" s="576">
        <v>58</v>
      </c>
      <c r="U119" s="575">
        <v>302</v>
      </c>
      <c r="V119" s="575">
        <v>18.2</v>
      </c>
      <c r="W119" s="574">
        <v>25</v>
      </c>
      <c r="X119" s="187">
        <v>810</v>
      </c>
      <c r="Y119" s="187">
        <v>0.08</v>
      </c>
      <c r="Z119" s="187">
        <v>0</v>
      </c>
      <c r="AA119" s="187">
        <v>14</v>
      </c>
      <c r="AB119" s="187">
        <v>200</v>
      </c>
      <c r="AC119" s="364">
        <v>1.5</v>
      </c>
      <c r="AE119" s="56">
        <v>58</v>
      </c>
      <c r="AF119" s="56">
        <v>298</v>
      </c>
      <c r="AG119" s="56">
        <v>18.2</v>
      </c>
      <c r="AH119" s="56">
        <v>25</v>
      </c>
    </row>
    <row r="120" spans="1:34" ht="14.1" customHeight="1" x14ac:dyDescent="0.2">
      <c r="A120" s="297">
        <v>95</v>
      </c>
      <c r="B120" s="282" t="s">
        <v>598</v>
      </c>
      <c r="C120" s="45"/>
      <c r="D120" s="133">
        <f>Produksi!F128</f>
        <v>4500.6264758545003</v>
      </c>
      <c r="E120" s="333">
        <f>Stok!L125</f>
        <v>0</v>
      </c>
      <c r="F120" s="134">
        <f>'Impor_Pangan Masuk'!F127+'ESTIMASI  Ekspor Impor'!J120</f>
        <v>3738.2591917103459</v>
      </c>
      <c r="G120" s="134">
        <f>'Ekspor_Pangan Keluar'!F127+'ESTIMASI  Ekspor Impor'!K120</f>
        <v>0</v>
      </c>
      <c r="H120" s="134">
        <f t="shared" si="12"/>
        <v>8238.8856675648458</v>
      </c>
      <c r="I120" s="134">
        <f>'Pemakaian Dalam Negeri REVISI'!E120</f>
        <v>0</v>
      </c>
      <c r="J120" s="134">
        <f>'Pemakaian Dalam Negeri REVISI'!F120</f>
        <v>0</v>
      </c>
      <c r="K120" s="134">
        <f>'Pemakaian Dalam Negeri REVISI'!G120</f>
        <v>0</v>
      </c>
      <c r="L120" s="134">
        <f>'Pemakaian Dalam Negeri REVISI'!H120</f>
        <v>6.5911085340518767</v>
      </c>
      <c r="M120" s="134">
        <f>'Pemakaian Dalam Negeri REVISI'!I120</f>
        <v>0</v>
      </c>
      <c r="N120" s="134">
        <f>'Pemakaian Dalam Negeri REVISI'!J120</f>
        <v>8232.2945590307936</v>
      </c>
      <c r="O120" s="126">
        <f t="shared" si="13"/>
        <v>33.180687850026374</v>
      </c>
      <c r="P120" s="126">
        <f t="shared" si="14"/>
        <v>90.905994109661293</v>
      </c>
      <c r="Q120" s="122">
        <f t="shared" si="15"/>
        <v>159.23093928248272</v>
      </c>
      <c r="R120" s="126">
        <f t="shared" si="16"/>
        <v>9.5960367382158456</v>
      </c>
      <c r="S120" s="127">
        <f t="shared" si="17"/>
        <v>13.181369145900886</v>
      </c>
      <c r="T120" s="576">
        <v>58</v>
      </c>
      <c r="U120" s="575">
        <v>302</v>
      </c>
      <c r="V120" s="575">
        <v>18.2</v>
      </c>
      <c r="W120" s="574">
        <v>25</v>
      </c>
      <c r="X120" s="187">
        <v>810</v>
      </c>
      <c r="Y120" s="187">
        <v>0.08</v>
      </c>
      <c r="Z120" s="187">
        <v>0</v>
      </c>
      <c r="AA120" s="187">
        <v>14</v>
      </c>
      <c r="AB120" s="187">
        <v>200</v>
      </c>
      <c r="AC120" s="364">
        <v>1.5</v>
      </c>
      <c r="AE120" s="56">
        <v>58</v>
      </c>
      <c r="AF120" s="56">
        <v>298</v>
      </c>
      <c r="AG120" s="56">
        <v>18.2</v>
      </c>
      <c r="AH120" s="56">
        <v>25</v>
      </c>
    </row>
    <row r="121" spans="1:34" ht="14.1" customHeight="1" x14ac:dyDescent="0.2">
      <c r="A121" s="297">
        <v>96</v>
      </c>
      <c r="B121" s="282" t="s">
        <v>125</v>
      </c>
      <c r="C121" s="45"/>
      <c r="D121" s="133">
        <f>Produksi!F129</f>
        <v>10.16115008265</v>
      </c>
      <c r="E121" s="333">
        <f>Stok!L126</f>
        <v>0</v>
      </c>
      <c r="F121" s="134">
        <f>'Impor_Pangan Masuk'!F128+'ESTIMASI  Ekspor Impor'!J121</f>
        <v>550</v>
      </c>
      <c r="G121" s="134">
        <f>'Ekspor_Pangan Keluar'!F128+'ESTIMASI  Ekspor Impor'!K121</f>
        <v>0</v>
      </c>
      <c r="H121" s="134">
        <f t="shared" si="12"/>
        <v>560.16115008265001</v>
      </c>
      <c r="I121" s="134">
        <f>'Pemakaian Dalam Negeri REVISI'!E121</f>
        <v>0</v>
      </c>
      <c r="J121" s="134">
        <f>'Pemakaian Dalam Negeri REVISI'!F121</f>
        <v>0</v>
      </c>
      <c r="K121" s="134">
        <f>'Pemakaian Dalam Negeri REVISI'!G121</f>
        <v>0</v>
      </c>
      <c r="L121" s="134">
        <f>'Pemakaian Dalam Negeri REVISI'!H121</f>
        <v>0.44812892006612004</v>
      </c>
      <c r="M121" s="134">
        <f>'Pemakaian Dalam Negeri REVISI'!I121</f>
        <v>0</v>
      </c>
      <c r="N121" s="134">
        <f>'Pemakaian Dalam Negeri REVISI'!J121</f>
        <v>559.71302116258391</v>
      </c>
      <c r="O121" s="126">
        <f t="shared" si="13"/>
        <v>2.2559522023441039</v>
      </c>
      <c r="P121" s="126">
        <f t="shared" si="14"/>
        <v>6.1806909653263116</v>
      </c>
      <c r="Q121" s="122">
        <f t="shared" si="15"/>
        <v>11.570253487090856</v>
      </c>
      <c r="R121" s="126">
        <f t="shared" si="16"/>
        <v>0.50805279734982278</v>
      </c>
      <c r="S121" s="127">
        <f t="shared" si="17"/>
        <v>1.030939253016429</v>
      </c>
      <c r="T121" s="576">
        <v>60</v>
      </c>
      <c r="U121" s="575">
        <v>312</v>
      </c>
      <c r="V121" s="575">
        <v>13.7</v>
      </c>
      <c r="W121" s="574">
        <v>27.8</v>
      </c>
      <c r="X121" s="187">
        <v>900</v>
      </c>
      <c r="Y121" s="187">
        <v>0.1</v>
      </c>
      <c r="Z121" s="187">
        <v>0</v>
      </c>
      <c r="AA121" s="187">
        <v>15</v>
      </c>
      <c r="AB121" s="187">
        <v>188</v>
      </c>
      <c r="AC121" s="364">
        <v>1.8</v>
      </c>
      <c r="AE121" s="56">
        <v>60</v>
      </c>
      <c r="AF121" s="56">
        <v>321</v>
      </c>
      <c r="AG121" s="56">
        <v>16</v>
      </c>
      <c r="AH121" s="56">
        <v>28.6</v>
      </c>
    </row>
    <row r="122" spans="1:34" ht="14.1" customHeight="1" x14ac:dyDescent="0.2">
      <c r="A122" s="297">
        <v>97</v>
      </c>
      <c r="B122" s="282" t="s">
        <v>126</v>
      </c>
      <c r="C122" s="45"/>
      <c r="D122" s="133">
        <f>Produksi!F130</f>
        <v>6.8619012000000001</v>
      </c>
      <c r="E122" s="333">
        <f>Stok!L127</f>
        <v>0</v>
      </c>
      <c r="F122" s="134">
        <f>'Impor_Pangan Masuk'!F129+'ESTIMASI  Ekspor Impor'!J122</f>
        <v>0</v>
      </c>
      <c r="G122" s="134">
        <f>'Ekspor_Pangan Keluar'!F129+'ESTIMASI  Ekspor Impor'!K122</f>
        <v>0</v>
      </c>
      <c r="H122" s="134">
        <f t="shared" si="12"/>
        <v>6.8619012000000001</v>
      </c>
      <c r="I122" s="134">
        <f>'Pemakaian Dalam Negeri REVISI'!E122</f>
        <v>0</v>
      </c>
      <c r="J122" s="134">
        <f>'Pemakaian Dalam Negeri REVISI'!F122</f>
        <v>0</v>
      </c>
      <c r="K122" s="134">
        <f>'Pemakaian Dalam Negeri REVISI'!G122</f>
        <v>0</v>
      </c>
      <c r="L122" s="134">
        <f>'Pemakaian Dalam Negeri REVISI'!H122</f>
        <v>5.48952096E-3</v>
      </c>
      <c r="M122" s="134">
        <f>'Pemakaian Dalam Negeri REVISI'!I122</f>
        <v>0</v>
      </c>
      <c r="N122" s="134">
        <f>'Pemakaian Dalam Negeri REVISI'!J122</f>
        <v>6.8564116790399998</v>
      </c>
      <c r="O122" s="126">
        <f t="shared" si="13"/>
        <v>2.7635120932830857E-2</v>
      </c>
      <c r="P122" s="126">
        <f t="shared" si="14"/>
        <v>7.571266008994755E-2</v>
      </c>
      <c r="Q122" s="122">
        <f t="shared" si="15"/>
        <v>0.14930536569737657</v>
      </c>
      <c r="R122" s="126">
        <f t="shared" si="16"/>
        <v>7.6848349991296763E-3</v>
      </c>
      <c r="S122" s="127">
        <f t="shared" si="17"/>
        <v>1.3174002855650874E-2</v>
      </c>
      <c r="T122" s="576">
        <v>58</v>
      </c>
      <c r="U122" s="575">
        <v>340</v>
      </c>
      <c r="V122" s="575">
        <v>17.5</v>
      </c>
      <c r="W122" s="574">
        <v>30</v>
      </c>
      <c r="X122" s="187"/>
      <c r="Y122" s="187"/>
      <c r="Z122" s="187"/>
      <c r="AA122" s="187"/>
      <c r="AB122" s="187"/>
      <c r="AC122" s="364"/>
      <c r="AE122" s="358"/>
      <c r="AF122" s="358"/>
      <c r="AG122" s="358"/>
      <c r="AH122" s="358"/>
    </row>
    <row r="123" spans="1:34" ht="14.1" customHeight="1" x14ac:dyDescent="0.2">
      <c r="A123" s="297">
        <v>98</v>
      </c>
      <c r="B123" s="282" t="s">
        <v>127</v>
      </c>
      <c r="C123" s="45"/>
      <c r="D123" s="133">
        <f>Produksi!F131</f>
        <v>844.71164549075263</v>
      </c>
      <c r="E123" s="333">
        <f>Stok!L128</f>
        <v>0</v>
      </c>
      <c r="F123" s="134">
        <f>'Impor_Pangan Masuk'!F130+'ESTIMASI  Ekspor Impor'!J123</f>
        <v>0</v>
      </c>
      <c r="G123" s="134">
        <f>'Ekspor_Pangan Keluar'!F130+'ESTIMASI  Ekspor Impor'!K123</f>
        <v>0</v>
      </c>
      <c r="H123" s="134">
        <f t="shared" si="12"/>
        <v>844.71164549075263</v>
      </c>
      <c r="I123" s="134">
        <f>'Pemakaian Dalam Negeri REVISI'!E123</f>
        <v>0</v>
      </c>
      <c r="J123" s="134">
        <f>'Pemakaian Dalam Negeri REVISI'!F123</f>
        <v>0</v>
      </c>
      <c r="K123" s="134">
        <f>'Pemakaian Dalam Negeri REVISI'!G123</f>
        <v>0</v>
      </c>
      <c r="L123" s="134">
        <f>'Pemakaian Dalam Negeri REVISI'!H123</f>
        <v>0.67576931639260218</v>
      </c>
      <c r="M123" s="134">
        <f>'Pemakaian Dalam Negeri REVISI'!I123</f>
        <v>0</v>
      </c>
      <c r="N123" s="134">
        <f>'Pemakaian Dalam Negeri REVISI'!J123</f>
        <v>844.03587617436006</v>
      </c>
      <c r="O123" s="126">
        <f t="shared" si="13"/>
        <v>3.4019301351216624</v>
      </c>
      <c r="P123" s="126">
        <f t="shared" si="14"/>
        <v>9.3203565345798971</v>
      </c>
      <c r="Q123" s="122">
        <f t="shared" si="15"/>
        <v>11.836852798916469</v>
      </c>
      <c r="R123" s="126">
        <f t="shared" si="16"/>
        <v>1.4632959759290438</v>
      </c>
      <c r="S123" s="127">
        <f t="shared" si="17"/>
        <v>0.59650281821311346</v>
      </c>
      <c r="T123" s="576">
        <v>100</v>
      </c>
      <c r="U123" s="575">
        <v>127</v>
      </c>
      <c r="V123" s="575">
        <v>15.7</v>
      </c>
      <c r="W123" s="574">
        <v>6.4</v>
      </c>
      <c r="X123" s="187"/>
      <c r="Y123" s="187"/>
      <c r="Z123" s="187"/>
      <c r="AA123" s="187"/>
      <c r="AB123" s="187"/>
      <c r="AC123" s="364"/>
      <c r="AE123" s="56"/>
      <c r="AF123" s="56"/>
      <c r="AG123" s="56"/>
      <c r="AH123" s="56"/>
    </row>
    <row r="124" spans="1:34" ht="14.1" customHeight="1" x14ac:dyDescent="0.2">
      <c r="A124" s="297"/>
      <c r="B124" s="298"/>
      <c r="C124" s="282"/>
      <c r="D124" s="133"/>
      <c r="E124" s="333"/>
      <c r="F124" s="134">
        <f>'Impor_Pangan Masuk'!F131+'ESTIMASI  Ekspor Impor'!J124</f>
        <v>0</v>
      </c>
      <c r="G124" s="134">
        <f>'Ekspor_Pangan Keluar'!F131+'ESTIMASI  Ekspor Impor'!K124</f>
        <v>0</v>
      </c>
      <c r="H124" s="134"/>
      <c r="I124" s="134"/>
      <c r="J124" s="134"/>
      <c r="K124" s="134"/>
      <c r="L124" s="134"/>
      <c r="M124" s="134"/>
      <c r="N124" s="134"/>
      <c r="O124" s="126"/>
      <c r="P124" s="126"/>
      <c r="Q124" s="122"/>
      <c r="R124" s="126"/>
      <c r="S124" s="127"/>
      <c r="T124" s="576"/>
      <c r="U124" s="575"/>
      <c r="V124" s="575"/>
      <c r="W124" s="574"/>
      <c r="X124" s="187"/>
      <c r="Y124" s="187"/>
      <c r="Z124" s="187"/>
      <c r="AA124" s="187"/>
      <c r="AB124" s="187"/>
      <c r="AC124" s="364"/>
      <c r="AE124" s="56"/>
      <c r="AF124" s="56"/>
      <c r="AG124" s="56"/>
      <c r="AH124" s="56"/>
    </row>
    <row r="125" spans="1:34" ht="14.1" customHeight="1" thickBot="1" x14ac:dyDescent="0.25">
      <c r="A125" s="336" t="s">
        <v>128</v>
      </c>
      <c r="B125" s="282"/>
      <c r="C125" s="282"/>
      <c r="D125" s="133"/>
      <c r="E125" s="333"/>
      <c r="F125" s="134">
        <f>'Impor_Pangan Masuk'!F132+'ESTIMASI  Ekspor Impor'!J125</f>
        <v>0</v>
      </c>
      <c r="G125" s="134">
        <f>'Ekspor_Pangan Keluar'!F132+'ESTIMASI  Ekspor Impor'!K125</f>
        <v>0</v>
      </c>
      <c r="H125" s="134"/>
      <c r="I125" s="134"/>
      <c r="J125" s="134"/>
      <c r="K125" s="134"/>
      <c r="L125" s="134"/>
      <c r="M125" s="134"/>
      <c r="N125" s="134"/>
      <c r="O125" s="126"/>
      <c r="P125" s="126"/>
      <c r="Q125" s="567">
        <f>SUM(Q126:Q129)</f>
        <v>101.82210300613227</v>
      </c>
      <c r="R125" s="340">
        <f>SUM(R126:R129)</f>
        <v>7.9898494153088757</v>
      </c>
      <c r="S125" s="340">
        <f>SUM(S126:S129)</f>
        <v>7.2423273186790071</v>
      </c>
      <c r="T125" s="576"/>
      <c r="U125" s="575"/>
      <c r="V125" s="575"/>
      <c r="W125" s="574"/>
      <c r="X125" s="187"/>
      <c r="Y125" s="187"/>
      <c r="Z125" s="187"/>
      <c r="AA125" s="187"/>
      <c r="AB125" s="187"/>
      <c r="AC125" s="364"/>
      <c r="AE125" s="56"/>
      <c r="AF125" s="56"/>
      <c r="AG125" s="56"/>
      <c r="AH125" s="56"/>
    </row>
    <row r="126" spans="1:34" ht="14.1" customHeight="1" x14ac:dyDescent="0.2">
      <c r="A126" s="297">
        <v>99</v>
      </c>
      <c r="B126" s="296" t="s">
        <v>129</v>
      </c>
      <c r="C126" s="45"/>
      <c r="D126" s="133">
        <f>Produksi!F134</f>
        <v>131.24472141375</v>
      </c>
      <c r="E126" s="333">
        <f>Stok!L131</f>
        <v>0</v>
      </c>
      <c r="F126" s="134">
        <f>'Impor_Pangan Masuk'!F133+'ESTIMASI  Ekspor Impor'!J126</f>
        <v>850</v>
      </c>
      <c r="G126" s="134">
        <f>'Ekspor_Pangan Keluar'!F133+'ESTIMASI  Ekspor Impor'!K126</f>
        <v>0</v>
      </c>
      <c r="H126" s="134">
        <f>D126-E126+F126-G126</f>
        <v>981.24472141374997</v>
      </c>
      <c r="I126" s="134">
        <f>'Pemakaian Dalam Negeri REVISI'!E126</f>
        <v>0</v>
      </c>
      <c r="J126" s="134">
        <f>'Pemakaian Dalam Negeri REVISI'!F126</f>
        <v>245.31118035343749</v>
      </c>
      <c r="K126" s="134">
        <f>'Pemakaian Dalam Negeri REVISI'!G126</f>
        <v>0</v>
      </c>
      <c r="L126" s="134">
        <f>'Pemakaian Dalam Negeri REVISI'!H126</f>
        <v>37.876046246570752</v>
      </c>
      <c r="M126" s="134">
        <f>'Pemakaian Dalam Negeri REVISI'!I126</f>
        <v>0</v>
      </c>
      <c r="N126" s="134">
        <f>'Pemakaian Dalam Negeri REVISI'!J126</f>
        <v>698.05749481374164</v>
      </c>
      <c r="O126" s="126">
        <f>(N126+K126)/$Q$4*1000</f>
        <v>2.8135567393391572</v>
      </c>
      <c r="P126" s="126">
        <f>O126/365*1000</f>
        <v>7.7083746283264585</v>
      </c>
      <c r="Q126" s="568">
        <f>P126/100*T126/100*U126</f>
        <v>9.5599262140504759</v>
      </c>
      <c r="R126" s="177">
        <f>P126/100*T126/100*V126</f>
        <v>0.62715335976064068</v>
      </c>
      <c r="S126" s="178">
        <f>P126/100*T126/100*W126</f>
        <v>0.73537893954234423</v>
      </c>
      <c r="T126" s="576">
        <v>90</v>
      </c>
      <c r="U126" s="575">
        <f>68.9*2</f>
        <v>137.80000000000001</v>
      </c>
      <c r="V126" s="575">
        <f>4.52*2</f>
        <v>9.0399999999999991</v>
      </c>
      <c r="W126" s="574">
        <f>5.3*2</f>
        <v>10.6</v>
      </c>
      <c r="X126" s="187">
        <v>900</v>
      </c>
      <c r="Y126" s="187">
        <v>0.1</v>
      </c>
      <c r="Z126" s="187">
        <v>0</v>
      </c>
      <c r="AA126" s="187">
        <v>54</v>
      </c>
      <c r="AB126" s="187">
        <v>180</v>
      </c>
      <c r="AC126" s="364">
        <v>2.7</v>
      </c>
      <c r="AE126" s="56">
        <v>87</v>
      </c>
      <c r="AF126" s="56">
        <v>174</v>
      </c>
      <c r="AG126" s="56">
        <v>10.8</v>
      </c>
      <c r="AH126" s="56">
        <v>14</v>
      </c>
    </row>
    <row r="127" spans="1:34" ht="14.1" customHeight="1" x14ac:dyDescent="0.2">
      <c r="A127" s="297">
        <v>100</v>
      </c>
      <c r="B127" s="296" t="s">
        <v>175</v>
      </c>
      <c r="C127" s="45"/>
      <c r="D127" s="133">
        <f>Produksi!F135</f>
        <v>538.91259985080001</v>
      </c>
      <c r="E127" s="333">
        <f>Stok!L132</f>
        <v>0</v>
      </c>
      <c r="F127" s="134">
        <f>'Impor_Pangan Masuk'!F134+'ESTIMASI  Ekspor Impor'!J127</f>
        <v>5712</v>
      </c>
      <c r="G127" s="134">
        <f>'Ekspor_Pangan Keluar'!F134+'ESTIMASI  Ekspor Impor'!K127</f>
        <v>0</v>
      </c>
      <c r="H127" s="134">
        <f>D127-E127+F127-G127</f>
        <v>6250.9125998507998</v>
      </c>
      <c r="I127" s="134">
        <f>'Pemakaian Dalam Negeri REVISI'!E127</f>
        <v>0</v>
      </c>
      <c r="J127" s="134">
        <f>'Pemakaian Dalam Negeri REVISI'!F127</f>
        <v>0</v>
      </c>
      <c r="K127" s="134">
        <f>'Pemakaian Dalam Negeri REVISI'!G127</f>
        <v>0</v>
      </c>
      <c r="L127" s="134">
        <f>'Pemakaian Dalam Negeri REVISI'!H127</f>
        <v>128.14370829694141</v>
      </c>
      <c r="M127" s="134">
        <f>'Pemakaian Dalam Negeri REVISI'!I127</f>
        <v>0</v>
      </c>
      <c r="N127" s="134">
        <f>'Pemakaian Dalam Negeri REVISI'!J127</f>
        <v>6122.7688915538583</v>
      </c>
      <c r="O127" s="126">
        <f>(N127+K127)/$Q$4*1000</f>
        <v>24.678135835851183</v>
      </c>
      <c r="P127" s="126">
        <f>O127/365*1000</f>
        <v>67.61133105712652</v>
      </c>
      <c r="Q127" s="122">
        <f>P127/100*T127/100*U127</f>
        <v>83.401281312207843</v>
      </c>
      <c r="R127" s="126">
        <f>P127/100*T127/100*V127</f>
        <v>6.7178618538360899</v>
      </c>
      <c r="S127" s="127">
        <f>P127/100*T127/100*W127</f>
        <v>5.8477040231308717</v>
      </c>
      <c r="T127" s="576">
        <v>90</v>
      </c>
      <c r="U127" s="575">
        <v>137.06</v>
      </c>
      <c r="V127" s="575">
        <v>11.04</v>
      </c>
      <c r="W127" s="574">
        <v>9.61</v>
      </c>
      <c r="X127" s="187">
        <v>900</v>
      </c>
      <c r="Y127" s="187">
        <v>0.1</v>
      </c>
      <c r="Z127" s="187">
        <v>0</v>
      </c>
      <c r="AA127" s="187">
        <v>54</v>
      </c>
      <c r="AB127" s="187">
        <v>180</v>
      </c>
      <c r="AC127" s="364">
        <v>2.7</v>
      </c>
      <c r="AE127" s="56">
        <v>89</v>
      </c>
      <c r="AF127" s="56">
        <v>154</v>
      </c>
      <c r="AG127" s="56">
        <v>12.4</v>
      </c>
      <c r="AH127" s="56">
        <v>10.9</v>
      </c>
    </row>
    <row r="128" spans="1:34" ht="14.1" customHeight="1" x14ac:dyDescent="0.2">
      <c r="A128" s="297">
        <v>101</v>
      </c>
      <c r="B128" s="296" t="s">
        <v>130</v>
      </c>
      <c r="C128" s="45"/>
      <c r="D128" s="133">
        <f>Produksi!F136</f>
        <v>103.45018958295</v>
      </c>
      <c r="E128" s="333">
        <f>Stok!L133</f>
        <v>0</v>
      </c>
      <c r="F128" s="134">
        <f>'Impor_Pangan Masuk'!F135+'ESTIMASI  Ekspor Impor'!J128</f>
        <v>300</v>
      </c>
      <c r="G128" s="134">
        <f>'Ekspor_Pangan Keluar'!F135+'ESTIMASI  Ekspor Impor'!K128</f>
        <v>0</v>
      </c>
      <c r="H128" s="134">
        <f>D128-E128+F128-G128</f>
        <v>403.45018958294997</v>
      </c>
      <c r="I128" s="134">
        <f>'Pemakaian Dalam Negeri REVISI'!E128</f>
        <v>0</v>
      </c>
      <c r="J128" s="134">
        <f>'Pemakaian Dalam Negeri REVISI'!F128</f>
        <v>54.465775593698247</v>
      </c>
      <c r="K128" s="134">
        <f>'Pemakaian Dalam Negeri REVISI'!G128</f>
        <v>0</v>
      </c>
      <c r="L128" s="134">
        <f>'Pemakaian Dalam Negeri REVISI'!H128</f>
        <v>15.815247431651638</v>
      </c>
      <c r="M128" s="134">
        <f>'Pemakaian Dalam Negeri REVISI'!I128</f>
        <v>0</v>
      </c>
      <c r="N128" s="134">
        <f>'Pemakaian Dalam Negeri REVISI'!J128</f>
        <v>333.16916655760008</v>
      </c>
      <c r="O128" s="126">
        <f>(N128+K128)/$Q$4*1000</f>
        <v>1.3428555110038092</v>
      </c>
      <c r="P128" s="126">
        <f>O128/365*1000</f>
        <v>3.6790561945309843</v>
      </c>
      <c r="Q128" s="122">
        <f>P128/100*T128/100*U128</f>
        <v>5.9316897444966701</v>
      </c>
      <c r="R128" s="126">
        <f>P128/100*T128/100*V128</f>
        <v>0.36706469232292033</v>
      </c>
      <c r="S128" s="127">
        <f>P128/100*T128/100*W128</f>
        <v>0.48248194093992047</v>
      </c>
      <c r="T128" s="576">
        <v>90</v>
      </c>
      <c r="U128" s="575">
        <f>100/70*125.4</f>
        <v>179.14285714285717</v>
      </c>
      <c r="V128" s="575">
        <v>11.0857142857143</v>
      </c>
      <c r="W128" s="574">
        <f>100/70*10.2</f>
        <v>14.571428571428571</v>
      </c>
      <c r="X128" s="187">
        <v>1230</v>
      </c>
      <c r="Y128" s="187">
        <v>0.18</v>
      </c>
      <c r="Z128" s="187">
        <v>0</v>
      </c>
      <c r="AA128" s="187">
        <v>56</v>
      </c>
      <c r="AB128" s="187">
        <v>175</v>
      </c>
      <c r="AC128" s="364">
        <v>2.8</v>
      </c>
      <c r="AE128" s="56">
        <v>90</v>
      </c>
      <c r="AF128" s="56">
        <v>187</v>
      </c>
      <c r="AG128" s="56" t="s">
        <v>555</v>
      </c>
      <c r="AH128" s="56">
        <v>13.3</v>
      </c>
    </row>
    <row r="129" spans="1:34" ht="14.1" customHeight="1" x14ac:dyDescent="0.2">
      <c r="A129" s="297">
        <v>102</v>
      </c>
      <c r="B129" s="296" t="s">
        <v>131</v>
      </c>
      <c r="C129" s="45"/>
      <c r="D129" s="133">
        <f>Produksi!F137</f>
        <v>54.084257639999997</v>
      </c>
      <c r="E129" s="333">
        <f>Stok!L134</f>
        <v>0</v>
      </c>
      <c r="F129" s="134">
        <f>'Impor_Pangan Masuk'!F136+'ESTIMASI  Ekspor Impor'!J129</f>
        <v>200</v>
      </c>
      <c r="G129" s="134">
        <f>'Ekspor_Pangan Keluar'!F136+'ESTIMASI  Ekspor Impor'!K129</f>
        <v>0</v>
      </c>
      <c r="H129" s="134">
        <f>D129-E129+F129-G129</f>
        <v>254.08425764</v>
      </c>
      <c r="I129" s="134">
        <f>'Pemakaian Dalam Negeri REVISI'!E129</f>
        <v>0</v>
      </c>
      <c r="J129" s="134">
        <f>'Pemakaian Dalam Negeri REVISI'!F129</f>
        <v>0</v>
      </c>
      <c r="K129" s="134">
        <f>'Pemakaian Dalam Negeri REVISI'!G129</f>
        <v>0</v>
      </c>
      <c r="L129" s="134">
        <f>'Pemakaian Dalam Negeri REVISI'!H129</f>
        <v>0</v>
      </c>
      <c r="M129" s="134">
        <f>'Pemakaian Dalam Negeri REVISI'!I129</f>
        <v>0</v>
      </c>
      <c r="N129" s="134">
        <f>'Pemakaian Dalam Negeri REVISI'!J129</f>
        <v>254.08425764</v>
      </c>
      <c r="O129" s="126">
        <f>(N129+K129)/$Q$4*1000</f>
        <v>1.0240997063340118</v>
      </c>
      <c r="P129" s="126">
        <f>O129/365*1000</f>
        <v>2.805752620093183</v>
      </c>
      <c r="Q129" s="122">
        <f>P129/100*T129/100*U129</f>
        <v>2.9292057353772831</v>
      </c>
      <c r="R129" s="126">
        <f>P129/100*T129/100*V129</f>
        <v>0.27776950938922512</v>
      </c>
      <c r="S129" s="127">
        <f>P129/100*T129/100*W129</f>
        <v>0.17676241506587054</v>
      </c>
      <c r="T129" s="576">
        <v>90</v>
      </c>
      <c r="U129" s="575">
        <v>116</v>
      </c>
      <c r="V129" s="575">
        <v>11</v>
      </c>
      <c r="W129" s="574">
        <v>7</v>
      </c>
      <c r="X129" s="187"/>
      <c r="Y129" s="187"/>
      <c r="Z129" s="187"/>
      <c r="AA129" s="187"/>
      <c r="AB129" s="187"/>
      <c r="AC129" s="364"/>
      <c r="AE129" s="56">
        <v>100</v>
      </c>
      <c r="AF129" s="56">
        <v>116</v>
      </c>
      <c r="AG129" s="56">
        <v>10.7</v>
      </c>
      <c r="AH129" s="56">
        <v>7</v>
      </c>
    </row>
    <row r="130" spans="1:34" ht="14.1" customHeight="1" x14ac:dyDescent="0.2">
      <c r="A130" s="297"/>
      <c r="B130" s="282"/>
      <c r="C130" s="282"/>
      <c r="D130" s="133"/>
      <c r="E130" s="333"/>
      <c r="F130" s="134">
        <f>'Impor_Pangan Masuk'!F137+'ESTIMASI  Ekspor Impor'!J130</f>
        <v>0</v>
      </c>
      <c r="G130" s="134">
        <f>'Ekspor_Pangan Keluar'!F137+'ESTIMASI  Ekspor Impor'!K130</f>
        <v>0</v>
      </c>
      <c r="H130" s="134"/>
      <c r="I130" s="134"/>
      <c r="J130" s="134"/>
      <c r="K130" s="134"/>
      <c r="L130" s="134"/>
      <c r="M130" s="134"/>
      <c r="N130" s="134"/>
      <c r="O130" s="126"/>
      <c r="P130" s="126"/>
      <c r="Q130" s="122"/>
      <c r="R130" s="126"/>
      <c r="S130" s="127"/>
      <c r="T130" s="576"/>
      <c r="U130" s="575"/>
      <c r="V130" s="575"/>
      <c r="W130" s="574"/>
      <c r="X130" s="187"/>
      <c r="Y130" s="187"/>
      <c r="Z130" s="187"/>
      <c r="AA130" s="187"/>
      <c r="AB130" s="187"/>
      <c r="AC130" s="364"/>
      <c r="AE130" s="56"/>
      <c r="AF130" s="56"/>
      <c r="AG130" s="56"/>
      <c r="AH130" s="56"/>
    </row>
    <row r="131" spans="1:34" ht="14.1" customHeight="1" thickBot="1" x14ac:dyDescent="0.25">
      <c r="A131" s="336" t="s">
        <v>132</v>
      </c>
      <c r="B131" s="282"/>
      <c r="C131" s="282"/>
      <c r="D131" s="133"/>
      <c r="E131" s="333"/>
      <c r="F131" s="134">
        <f>'Impor_Pangan Masuk'!F138+'ESTIMASI  Ekspor Impor'!J131</f>
        <v>0</v>
      </c>
      <c r="G131" s="134">
        <f>'Ekspor_Pangan Keluar'!F138+'ESTIMASI  Ekspor Impor'!K131</f>
        <v>0</v>
      </c>
      <c r="H131" s="134"/>
      <c r="I131" s="134"/>
      <c r="J131" s="134"/>
      <c r="K131" s="134"/>
      <c r="L131" s="134"/>
      <c r="M131" s="134"/>
      <c r="N131" s="134"/>
      <c r="O131" s="126"/>
      <c r="P131" s="126"/>
      <c r="Q131" s="567">
        <f>SUM(Q132:Q133)</f>
        <v>0</v>
      </c>
      <c r="R131" s="340">
        <f>SUM(R132:R133)</f>
        <v>0</v>
      </c>
      <c r="S131" s="340">
        <f>SUM(S132:S133)</f>
        <v>0</v>
      </c>
      <c r="T131" s="576"/>
      <c r="U131" s="575"/>
      <c r="V131" s="575"/>
      <c r="W131" s="574"/>
      <c r="X131" s="187"/>
      <c r="Y131" s="187"/>
      <c r="Z131" s="187"/>
      <c r="AA131" s="187"/>
      <c r="AB131" s="187"/>
      <c r="AC131" s="364"/>
      <c r="AE131" s="56"/>
      <c r="AF131" s="56"/>
      <c r="AG131" s="56"/>
      <c r="AH131" s="56"/>
    </row>
    <row r="132" spans="1:34" ht="14.1" customHeight="1" x14ac:dyDescent="0.2">
      <c r="A132" s="297">
        <v>103</v>
      </c>
      <c r="B132" s="282" t="s">
        <v>133</v>
      </c>
      <c r="C132" s="45"/>
      <c r="D132" s="133">
        <f>Produksi!F140</f>
        <v>0</v>
      </c>
      <c r="E132" s="333">
        <f>Stok!L137</f>
        <v>0</v>
      </c>
      <c r="F132" s="134">
        <f>'Impor_Pangan Masuk'!F139+'ESTIMASI  Ekspor Impor'!J132</f>
        <v>0</v>
      </c>
      <c r="G132" s="134">
        <f>'Ekspor_Pangan Keluar'!F139+'ESTIMASI  Ekspor Impor'!K132</f>
        <v>0</v>
      </c>
      <c r="H132" s="134">
        <f>D132-E132+F132-G132</f>
        <v>0</v>
      </c>
      <c r="I132" s="134">
        <f>'Pemakaian Dalam Negeri REVISI'!E132</f>
        <v>0</v>
      </c>
      <c r="J132" s="134">
        <f>'Pemakaian Dalam Negeri REVISI'!F132</f>
        <v>0</v>
      </c>
      <c r="K132" s="134">
        <f>'Pemakaian Dalam Negeri REVISI'!G132</f>
        <v>0</v>
      </c>
      <c r="L132" s="134">
        <f>'Pemakaian Dalam Negeri REVISI'!H132</f>
        <v>0</v>
      </c>
      <c r="M132" s="134">
        <f>'Pemakaian Dalam Negeri REVISI'!I132</f>
        <v>0</v>
      </c>
      <c r="N132" s="134">
        <f>'Pemakaian Dalam Negeri REVISI'!J132</f>
        <v>0</v>
      </c>
      <c r="O132" s="126">
        <f>(N132+K132)/$Q$4*1000</f>
        <v>0</v>
      </c>
      <c r="P132" s="126">
        <f>O132/365*1000</f>
        <v>0</v>
      </c>
      <c r="Q132" s="568">
        <f>P132/100*T132/100*U132</f>
        <v>0</v>
      </c>
      <c r="R132" s="177">
        <f>P132/100*T132/100*V132</f>
        <v>0</v>
      </c>
      <c r="S132" s="178">
        <f>P132/100*T132/100*W132</f>
        <v>0</v>
      </c>
      <c r="T132" s="576">
        <v>100</v>
      </c>
      <c r="U132" s="575">
        <v>61</v>
      </c>
      <c r="V132" s="575">
        <v>3.2</v>
      </c>
      <c r="W132" s="574">
        <v>3.5</v>
      </c>
      <c r="X132" s="187">
        <v>130</v>
      </c>
      <c r="Y132" s="187">
        <v>0.03</v>
      </c>
      <c r="Z132" s="187">
        <v>1</v>
      </c>
      <c r="AA132" s="187">
        <v>143</v>
      </c>
      <c r="AB132" s="187">
        <v>60</v>
      </c>
      <c r="AC132" s="364">
        <v>1.7</v>
      </c>
      <c r="AE132" s="56">
        <v>100</v>
      </c>
      <c r="AF132" s="56">
        <v>61</v>
      </c>
      <c r="AG132" s="56">
        <v>3.2</v>
      </c>
      <c r="AH132" s="56">
        <v>3.5</v>
      </c>
    </row>
    <row r="133" spans="1:34" ht="14.1" customHeight="1" x14ac:dyDescent="0.2">
      <c r="A133" s="297">
        <v>104</v>
      </c>
      <c r="B133" s="282" t="s">
        <v>425</v>
      </c>
      <c r="C133" s="45"/>
      <c r="D133" s="133">
        <f>Produksi!F141</f>
        <v>0</v>
      </c>
      <c r="E133" s="333">
        <f>Stok!L138</f>
        <v>0</v>
      </c>
      <c r="F133" s="134">
        <f>'Impor_Pangan Masuk'!F140+'ESTIMASI  Ekspor Impor'!J133</f>
        <v>0</v>
      </c>
      <c r="G133" s="134">
        <f>'Ekspor_Pangan Keluar'!F140+'ESTIMASI  Ekspor Impor'!K133</f>
        <v>0</v>
      </c>
      <c r="H133" s="134">
        <f>D133-E133+F133-G133</f>
        <v>0</v>
      </c>
      <c r="I133" s="134">
        <f>'Pemakaian Dalam Negeri REVISI'!E133</f>
        <v>0</v>
      </c>
      <c r="J133" s="134">
        <f>'Pemakaian Dalam Negeri REVISI'!F133</f>
        <v>0</v>
      </c>
      <c r="K133" s="134">
        <f>'Pemakaian Dalam Negeri REVISI'!G133</f>
        <v>0</v>
      </c>
      <c r="L133" s="134">
        <f>'Pemakaian Dalam Negeri REVISI'!H133</f>
        <v>0</v>
      </c>
      <c r="M133" s="134">
        <f>'Pemakaian Dalam Negeri REVISI'!I133</f>
        <v>0</v>
      </c>
      <c r="N133" s="134">
        <f>'Pemakaian Dalam Negeri REVISI'!J133</f>
        <v>0</v>
      </c>
      <c r="O133" s="126">
        <f>(N133+K133)/$Q$4*1000</f>
        <v>0</v>
      </c>
      <c r="P133" s="126">
        <f>O133/365*1000</f>
        <v>0</v>
      </c>
      <c r="Q133" s="122">
        <f>P133/100*T133/100*U133</f>
        <v>0</v>
      </c>
      <c r="R133" s="126">
        <f>P133/100*T133/100*V133</f>
        <v>0</v>
      </c>
      <c r="S133" s="127">
        <f>P133/100*T133/100*W133</f>
        <v>0</v>
      </c>
      <c r="T133" s="576">
        <v>100</v>
      </c>
      <c r="U133" s="575">
        <v>61</v>
      </c>
      <c r="V133" s="575">
        <v>3.2</v>
      </c>
      <c r="W133" s="574">
        <v>3.5</v>
      </c>
      <c r="X133" s="187">
        <v>130</v>
      </c>
      <c r="Y133" s="187">
        <v>0.03</v>
      </c>
      <c r="Z133" s="187">
        <v>1</v>
      </c>
      <c r="AA133" s="187">
        <v>143</v>
      </c>
      <c r="AB133" s="187">
        <v>60</v>
      </c>
      <c r="AC133" s="364">
        <v>1.7</v>
      </c>
      <c r="AE133" s="358"/>
      <c r="AF133" s="358"/>
      <c r="AG133" s="358"/>
      <c r="AH133" s="358"/>
    </row>
    <row r="134" spans="1:34" x14ac:dyDescent="0.2">
      <c r="A134" s="297"/>
      <c r="B134" s="282"/>
      <c r="C134" s="282"/>
      <c r="D134" s="133"/>
      <c r="E134" s="333"/>
      <c r="F134" s="134">
        <f>'Impor_Pangan Masuk'!F141+'ESTIMASI  Ekspor Impor'!J134</f>
        <v>0</v>
      </c>
      <c r="G134" s="134">
        <f>'Ekspor_Pangan Keluar'!F141+'ESTIMASI  Ekspor Impor'!K134</f>
        <v>0</v>
      </c>
      <c r="H134" s="134"/>
      <c r="I134" s="134"/>
      <c r="J134" s="134"/>
      <c r="K134" s="134"/>
      <c r="L134" s="134"/>
      <c r="M134" s="134"/>
      <c r="N134" s="134"/>
      <c r="O134" s="126"/>
      <c r="P134" s="126"/>
      <c r="Q134" s="122"/>
      <c r="R134" s="126"/>
      <c r="S134" s="127"/>
      <c r="T134" s="576"/>
      <c r="U134" s="575"/>
      <c r="V134" s="575"/>
      <c r="W134" s="574"/>
      <c r="X134" s="187"/>
      <c r="Y134" s="187"/>
      <c r="Z134" s="187"/>
      <c r="AA134" s="187"/>
      <c r="AB134" s="187"/>
      <c r="AC134" s="364"/>
      <c r="AE134" s="56"/>
      <c r="AF134" s="56"/>
      <c r="AG134" s="56"/>
      <c r="AH134" s="56"/>
    </row>
    <row r="135" spans="1:34" ht="14.1" customHeight="1" thickBot="1" x14ac:dyDescent="0.25">
      <c r="A135" s="336" t="s">
        <v>135</v>
      </c>
      <c r="B135" s="282"/>
      <c r="C135" s="282"/>
      <c r="D135" s="133"/>
      <c r="E135" s="333"/>
      <c r="F135" s="134">
        <f>'Impor_Pangan Masuk'!F142+'ESTIMASI  Ekspor Impor'!J135</f>
        <v>0</v>
      </c>
      <c r="G135" s="134">
        <f>'Ekspor_Pangan Keluar'!F142+'ESTIMASI  Ekspor Impor'!K135</f>
        <v>0</v>
      </c>
      <c r="H135" s="134"/>
      <c r="I135" s="134"/>
      <c r="J135" s="134"/>
      <c r="K135" s="134"/>
      <c r="L135" s="134"/>
      <c r="M135" s="134"/>
      <c r="N135" s="134"/>
      <c r="O135" s="126"/>
      <c r="P135" s="126"/>
      <c r="Q135" s="567">
        <f>SUM(Q136:Q169)</f>
        <v>235.76393380501577</v>
      </c>
      <c r="R135" s="340">
        <f>SUM(R136:R169)</f>
        <v>43.518385535625299</v>
      </c>
      <c r="S135" s="340">
        <f>SUM(S136:S169)</f>
        <v>4.735188841393021</v>
      </c>
      <c r="T135" s="576"/>
      <c r="U135" s="575"/>
      <c r="V135" s="575"/>
      <c r="W135" s="574"/>
      <c r="X135" s="187"/>
      <c r="Y135" s="187"/>
      <c r="Z135" s="187"/>
      <c r="AA135" s="187"/>
      <c r="AB135" s="187"/>
      <c r="AC135" s="364"/>
      <c r="AE135" s="56"/>
      <c r="AF135" s="56"/>
      <c r="AG135" s="56"/>
      <c r="AH135" s="56"/>
    </row>
    <row r="136" spans="1:34" ht="14.1" customHeight="1" x14ac:dyDescent="0.2">
      <c r="A136" s="297">
        <v>105</v>
      </c>
      <c r="B136" s="282" t="s">
        <v>174</v>
      </c>
      <c r="C136" s="45"/>
      <c r="D136" s="133">
        <f>Produksi!F144</f>
        <v>0</v>
      </c>
      <c r="E136" s="333">
        <f>Stok!L141</f>
        <v>0</v>
      </c>
      <c r="F136" s="134">
        <f>'Impor_Pangan Masuk'!F143+'ESTIMASI  Ekspor Impor'!J136</f>
        <v>755.94436559547296</v>
      </c>
      <c r="G136" s="134">
        <f>'Ekspor_Pangan Keluar'!F143+'ESTIMASI  Ekspor Impor'!K136</f>
        <v>0</v>
      </c>
      <c r="H136" s="134">
        <f t="shared" ref="H136:H169" si="18">D136-E136+F136-G136</f>
        <v>755.94436559547296</v>
      </c>
      <c r="I136" s="134">
        <f>'Pemakaian Dalam Negeri REVISI'!E136</f>
        <v>0</v>
      </c>
      <c r="J136" s="134">
        <f>'Pemakaian Dalam Negeri REVISI'!F136</f>
        <v>0</v>
      </c>
      <c r="K136" s="134">
        <f>'Pemakaian Dalam Negeri REVISI'!G136</f>
        <v>0</v>
      </c>
      <c r="L136" s="134">
        <f>'Pemakaian Dalam Negeri REVISI'!H136</f>
        <v>7.5594436559547296</v>
      </c>
      <c r="M136" s="134">
        <f>'Pemakaian Dalam Negeri REVISI'!I136</f>
        <v>0</v>
      </c>
      <c r="N136" s="134">
        <f>'Pemakaian Dalam Negeri REVISI'!J136</f>
        <v>748.38492193951822</v>
      </c>
      <c r="O136" s="126">
        <f t="shared" ref="O136:O169" si="19">(N136+K136)/$Q$4*1000</f>
        <v>3.0164040303078061</v>
      </c>
      <c r="P136" s="126">
        <f t="shared" ref="P136:P169" si="20">O136/365*1000</f>
        <v>8.2641206309802904</v>
      </c>
      <c r="Q136" s="568">
        <f t="shared" ref="Q136:Q169" si="21">P136/100*T136/100*U136</f>
        <v>5.9766120403249454</v>
      </c>
      <c r="R136" s="177">
        <f t="shared" ref="R136:R169" si="22">P136/100*T136/100*V136</f>
        <v>0.89913632465065541</v>
      </c>
      <c r="S136" s="178">
        <f t="shared" ref="S136:S169" si="23">P136/100*T136/100*W136</f>
        <v>0.21156148815309539</v>
      </c>
      <c r="T136" s="576">
        <v>80</v>
      </c>
      <c r="U136" s="575">
        <v>90.4</v>
      </c>
      <c r="V136" s="575">
        <v>13.6</v>
      </c>
      <c r="W136" s="574">
        <v>3.2</v>
      </c>
      <c r="X136" s="187"/>
      <c r="Y136" s="187"/>
      <c r="Z136" s="187"/>
      <c r="AA136" s="187"/>
      <c r="AB136" s="187"/>
      <c r="AC136" s="364"/>
      <c r="AE136" s="56"/>
      <c r="AF136" s="56"/>
      <c r="AG136" s="56"/>
      <c r="AH136" s="56"/>
    </row>
    <row r="137" spans="1:34" ht="14.1" customHeight="1" x14ac:dyDescent="0.2">
      <c r="A137" s="297">
        <v>106</v>
      </c>
      <c r="B137" s="282" t="s">
        <v>136</v>
      </c>
      <c r="C137" s="45"/>
      <c r="D137" s="133">
        <f>Produksi!F145</f>
        <v>0</v>
      </c>
      <c r="E137" s="333">
        <f>Stok!L142</f>
        <v>0</v>
      </c>
      <c r="F137" s="134">
        <f>'Impor_Pangan Masuk'!F144+'ESTIMASI  Ekspor Impor'!J137</f>
        <v>7.6209018170622498</v>
      </c>
      <c r="G137" s="134">
        <f>'Ekspor_Pangan Keluar'!F144+'ESTIMASI  Ekspor Impor'!K137</f>
        <v>0</v>
      </c>
      <c r="H137" s="134">
        <f t="shared" si="18"/>
        <v>7.6209018170622498</v>
      </c>
      <c r="I137" s="134">
        <f>'Pemakaian Dalam Negeri REVISI'!E137</f>
        <v>0</v>
      </c>
      <c r="J137" s="134">
        <f>'Pemakaian Dalam Negeri REVISI'!F137</f>
        <v>0</v>
      </c>
      <c r="K137" s="134">
        <f>'Pemakaian Dalam Negeri REVISI'!G137</f>
        <v>0</v>
      </c>
      <c r="L137" s="134">
        <f>'Pemakaian Dalam Negeri REVISI'!H137</f>
        <v>7.6209018170622506E-2</v>
      </c>
      <c r="M137" s="134">
        <f>'Pemakaian Dalam Negeri REVISI'!I137</f>
        <v>0</v>
      </c>
      <c r="N137" s="134">
        <f>'Pemakaian Dalam Negeri REVISI'!J137</f>
        <v>7.544692798891627</v>
      </c>
      <c r="O137" s="126">
        <f t="shared" si="19"/>
        <v>3.0409273488610174E-2</v>
      </c>
      <c r="P137" s="126">
        <f t="shared" si="20"/>
        <v>8.3313078050986783E-2</v>
      </c>
      <c r="Q137" s="122">
        <f t="shared" si="21"/>
        <v>4.9054740356421017E-2</v>
      </c>
      <c r="R137" s="126">
        <f t="shared" si="22"/>
        <v>1.0664073990526308E-2</v>
      </c>
      <c r="S137" s="127">
        <f t="shared" si="23"/>
        <v>3.7324258966842084E-4</v>
      </c>
      <c r="T137" s="576">
        <v>80</v>
      </c>
      <c r="U137" s="575">
        <v>73.599999999999994</v>
      </c>
      <c r="V137" s="575">
        <v>16</v>
      </c>
      <c r="W137" s="574">
        <v>0.56000000000000005</v>
      </c>
      <c r="X137" s="187"/>
      <c r="Y137" s="187"/>
      <c r="Z137" s="187"/>
      <c r="AA137" s="187"/>
      <c r="AB137" s="187"/>
      <c r="AC137" s="364"/>
      <c r="AE137" s="358"/>
      <c r="AF137" s="56">
        <v>92</v>
      </c>
      <c r="AG137" s="56">
        <v>20</v>
      </c>
      <c r="AH137" s="56">
        <v>0.7</v>
      </c>
    </row>
    <row r="138" spans="1:34" ht="14.1" customHeight="1" x14ac:dyDescent="0.2">
      <c r="A138" s="297">
        <v>107</v>
      </c>
      <c r="B138" s="282" t="s">
        <v>137</v>
      </c>
      <c r="C138" s="45"/>
      <c r="D138" s="133">
        <f>Produksi!F146</f>
        <v>0</v>
      </c>
      <c r="E138" s="333">
        <f>Stok!L143</f>
        <v>0</v>
      </c>
      <c r="F138" s="134">
        <f>'Impor_Pangan Masuk'!F145+'ESTIMASI  Ekspor Impor'!J138</f>
        <v>0</v>
      </c>
      <c r="G138" s="134">
        <f>'Ekspor_Pangan Keluar'!F145+'ESTIMASI  Ekspor Impor'!K138</f>
        <v>0</v>
      </c>
      <c r="H138" s="134">
        <f t="shared" si="18"/>
        <v>0</v>
      </c>
      <c r="I138" s="134">
        <f>'Pemakaian Dalam Negeri REVISI'!E138</f>
        <v>0</v>
      </c>
      <c r="J138" s="134">
        <f>'Pemakaian Dalam Negeri REVISI'!F138</f>
        <v>0</v>
      </c>
      <c r="K138" s="134">
        <f>'Pemakaian Dalam Negeri REVISI'!G138</f>
        <v>0</v>
      </c>
      <c r="L138" s="134">
        <f>'Pemakaian Dalam Negeri REVISI'!H138</f>
        <v>0</v>
      </c>
      <c r="M138" s="134">
        <f>'Pemakaian Dalam Negeri REVISI'!I138</f>
        <v>0</v>
      </c>
      <c r="N138" s="134">
        <f>'Pemakaian Dalam Negeri REVISI'!J138</f>
        <v>0</v>
      </c>
      <c r="O138" s="126">
        <f t="shared" si="19"/>
        <v>0</v>
      </c>
      <c r="P138" s="126">
        <f t="shared" si="20"/>
        <v>0</v>
      </c>
      <c r="Q138" s="122">
        <f t="shared" si="21"/>
        <v>0</v>
      </c>
      <c r="R138" s="126">
        <f t="shared" si="22"/>
        <v>0</v>
      </c>
      <c r="S138" s="127">
        <f t="shared" si="23"/>
        <v>0</v>
      </c>
      <c r="T138" s="576">
        <v>49</v>
      </c>
      <c r="U138" s="575">
        <v>57</v>
      </c>
      <c r="V138" s="575">
        <v>10.7</v>
      </c>
      <c r="W138" s="574">
        <v>0.3</v>
      </c>
      <c r="X138" s="187"/>
      <c r="Y138" s="187"/>
      <c r="Z138" s="187"/>
      <c r="AA138" s="187"/>
      <c r="AB138" s="187"/>
      <c r="AC138" s="364"/>
      <c r="AE138" s="358"/>
      <c r="AF138" s="56">
        <v>57</v>
      </c>
      <c r="AG138" s="56">
        <v>10.7</v>
      </c>
      <c r="AH138" s="56">
        <v>0.3</v>
      </c>
    </row>
    <row r="139" spans="1:34" ht="14.1" customHeight="1" x14ac:dyDescent="0.2">
      <c r="A139" s="297">
        <v>108</v>
      </c>
      <c r="B139" s="282" t="s">
        <v>138</v>
      </c>
      <c r="C139" s="45"/>
      <c r="D139" s="133">
        <f>Produksi!F147</f>
        <v>0</v>
      </c>
      <c r="E139" s="333">
        <f>Stok!L144</f>
        <v>0</v>
      </c>
      <c r="F139" s="134">
        <f>'Impor_Pangan Masuk'!F146+'ESTIMASI  Ekspor Impor'!J139</f>
        <v>22</v>
      </c>
      <c r="G139" s="134">
        <f>'Ekspor_Pangan Keluar'!F146+'ESTIMASI  Ekspor Impor'!K139</f>
        <v>0</v>
      </c>
      <c r="H139" s="134">
        <f t="shared" si="18"/>
        <v>22</v>
      </c>
      <c r="I139" s="134">
        <f>'Pemakaian Dalam Negeri REVISI'!E139</f>
        <v>0</v>
      </c>
      <c r="J139" s="134">
        <f>'Pemakaian Dalam Negeri REVISI'!F139</f>
        <v>0</v>
      </c>
      <c r="K139" s="134">
        <f>'Pemakaian Dalam Negeri REVISI'!G139</f>
        <v>0</v>
      </c>
      <c r="L139" s="134">
        <f>'Pemakaian Dalam Negeri REVISI'!H139</f>
        <v>0.22</v>
      </c>
      <c r="M139" s="134">
        <f>'Pemakaian Dalam Negeri REVISI'!I139</f>
        <v>0</v>
      </c>
      <c r="N139" s="134">
        <f>'Pemakaian Dalam Negeri REVISI'!J139</f>
        <v>21.78</v>
      </c>
      <c r="O139" s="126">
        <f t="shared" si="19"/>
        <v>8.7785413433828424E-2</v>
      </c>
      <c r="P139" s="126">
        <f t="shared" si="20"/>
        <v>0.24050798201048884</v>
      </c>
      <c r="Q139" s="122">
        <f t="shared" si="21"/>
        <v>0.17508981090363587</v>
      </c>
      <c r="R139" s="126">
        <f t="shared" si="22"/>
        <v>3.6557213265594302E-2</v>
      </c>
      <c r="S139" s="127">
        <f t="shared" si="23"/>
        <v>3.2709085553426481E-3</v>
      </c>
      <c r="T139" s="576">
        <v>80</v>
      </c>
      <c r="U139" s="575">
        <v>91</v>
      </c>
      <c r="V139" s="575">
        <v>19</v>
      </c>
      <c r="W139" s="574">
        <v>1.7</v>
      </c>
      <c r="X139" s="187"/>
      <c r="Y139" s="187"/>
      <c r="Z139" s="187"/>
      <c r="AA139" s="187"/>
      <c r="AB139" s="187"/>
      <c r="AC139" s="364"/>
      <c r="AE139" s="358"/>
      <c r="AF139" s="56">
        <v>91</v>
      </c>
      <c r="AG139" s="56">
        <v>19</v>
      </c>
      <c r="AH139" s="56">
        <v>1.7</v>
      </c>
    </row>
    <row r="140" spans="1:34" ht="14.1" customHeight="1" x14ac:dyDescent="0.2">
      <c r="A140" s="297">
        <v>109</v>
      </c>
      <c r="B140" s="282" t="s">
        <v>139</v>
      </c>
      <c r="C140" s="45"/>
      <c r="D140" s="133">
        <f>Produksi!F148</f>
        <v>0</v>
      </c>
      <c r="E140" s="333">
        <f>Stok!L145</f>
        <v>0</v>
      </c>
      <c r="F140" s="134">
        <f>'Impor_Pangan Masuk'!F147+'ESTIMASI  Ekspor Impor'!J140</f>
        <v>2955</v>
      </c>
      <c r="G140" s="134">
        <f>'Ekspor_Pangan Keluar'!F147+'ESTIMASI  Ekspor Impor'!K140</f>
        <v>0</v>
      </c>
      <c r="H140" s="134">
        <f t="shared" si="18"/>
        <v>2955</v>
      </c>
      <c r="I140" s="134">
        <f>'Pemakaian Dalam Negeri REVISI'!E140</f>
        <v>0</v>
      </c>
      <c r="J140" s="134">
        <f>'Pemakaian Dalam Negeri REVISI'!F140</f>
        <v>0</v>
      </c>
      <c r="K140" s="134">
        <f>'Pemakaian Dalam Negeri REVISI'!G140</f>
        <v>0</v>
      </c>
      <c r="L140" s="134">
        <f>'Pemakaian Dalam Negeri REVISI'!H140</f>
        <v>29.55</v>
      </c>
      <c r="M140" s="134">
        <f>'Pemakaian Dalam Negeri REVISI'!I140</f>
        <v>0</v>
      </c>
      <c r="N140" s="134">
        <f>'Pemakaian Dalam Negeri REVISI'!J140</f>
        <v>2925.45</v>
      </c>
      <c r="O140" s="126">
        <f t="shared" si="19"/>
        <v>11.791177122589225</v>
      </c>
      <c r="P140" s="126">
        <f t="shared" si="20"/>
        <v>32.304594856408841</v>
      </c>
      <c r="Q140" s="122">
        <f t="shared" si="21"/>
        <v>23.905400193742544</v>
      </c>
      <c r="R140" s="126">
        <f t="shared" si="22"/>
        <v>3.3273732702101109</v>
      </c>
      <c r="S140" s="127">
        <f t="shared" si="23"/>
        <v>0.18090573119588954</v>
      </c>
      <c r="T140" s="576">
        <v>100</v>
      </c>
      <c r="U140" s="575">
        <v>74</v>
      </c>
      <c r="V140" s="575">
        <v>10.3</v>
      </c>
      <c r="W140" s="574">
        <v>0.56000000000000005</v>
      </c>
      <c r="X140" s="187"/>
      <c r="Y140" s="187"/>
      <c r="Z140" s="187"/>
      <c r="AA140" s="187"/>
      <c r="AB140" s="187"/>
      <c r="AC140" s="364"/>
      <c r="AE140" s="56">
        <v>100</v>
      </c>
      <c r="AF140" s="56">
        <v>74</v>
      </c>
      <c r="AG140" s="56">
        <v>10.3</v>
      </c>
      <c r="AH140" s="56">
        <v>1.4</v>
      </c>
    </row>
    <row r="141" spans="1:34" ht="14.1" customHeight="1" x14ac:dyDescent="0.2">
      <c r="A141" s="297">
        <v>110</v>
      </c>
      <c r="B141" s="282" t="s">
        <v>140</v>
      </c>
      <c r="C141" s="45"/>
      <c r="D141" s="133">
        <f>Produksi!F149</f>
        <v>0</v>
      </c>
      <c r="E141" s="333">
        <f>Stok!L146</f>
        <v>0</v>
      </c>
      <c r="F141" s="134">
        <f>'Impor_Pangan Masuk'!F148+'ESTIMASI  Ekspor Impor'!J141</f>
        <v>0</v>
      </c>
      <c r="G141" s="134">
        <f>'Ekspor_Pangan Keluar'!F148+'ESTIMASI  Ekspor Impor'!K141</f>
        <v>0</v>
      </c>
      <c r="H141" s="134">
        <f t="shared" si="18"/>
        <v>0</v>
      </c>
      <c r="I141" s="134">
        <f>'Pemakaian Dalam Negeri REVISI'!E141</f>
        <v>0</v>
      </c>
      <c r="J141" s="134">
        <f>'Pemakaian Dalam Negeri REVISI'!F141</f>
        <v>0</v>
      </c>
      <c r="K141" s="134">
        <f>'Pemakaian Dalam Negeri REVISI'!G141</f>
        <v>0</v>
      </c>
      <c r="L141" s="134">
        <f>'Pemakaian Dalam Negeri REVISI'!H141</f>
        <v>0</v>
      </c>
      <c r="M141" s="134">
        <f>'Pemakaian Dalam Negeri REVISI'!I141</f>
        <v>0</v>
      </c>
      <c r="N141" s="134">
        <f>'Pemakaian Dalam Negeri REVISI'!J141</f>
        <v>0</v>
      </c>
      <c r="O141" s="126">
        <f t="shared" si="19"/>
        <v>0</v>
      </c>
      <c r="P141" s="126">
        <f t="shared" si="20"/>
        <v>0</v>
      </c>
      <c r="Q141" s="122">
        <f t="shared" si="21"/>
        <v>0</v>
      </c>
      <c r="R141" s="126">
        <f t="shared" si="22"/>
        <v>0</v>
      </c>
      <c r="S141" s="127">
        <f t="shared" si="23"/>
        <v>0</v>
      </c>
      <c r="T141" s="576">
        <v>80</v>
      </c>
      <c r="U141" s="575">
        <v>112</v>
      </c>
      <c r="V141" s="575">
        <v>20</v>
      </c>
      <c r="W141" s="574">
        <v>3</v>
      </c>
      <c r="X141" s="187"/>
      <c r="Y141" s="187"/>
      <c r="Z141" s="187"/>
      <c r="AA141" s="187"/>
      <c r="AB141" s="187"/>
      <c r="AC141" s="364"/>
      <c r="AE141" s="56">
        <v>80</v>
      </c>
      <c r="AF141" s="56">
        <v>112</v>
      </c>
      <c r="AG141" s="56">
        <v>20</v>
      </c>
      <c r="AH141" s="56">
        <v>3</v>
      </c>
    </row>
    <row r="142" spans="1:34" s="163" customFormat="1" x14ac:dyDescent="0.2">
      <c r="A142" s="297">
        <v>111</v>
      </c>
      <c r="B142" s="282" t="s">
        <v>141</v>
      </c>
      <c r="C142" s="45"/>
      <c r="D142" s="133">
        <f>Produksi!F150</f>
        <v>0</v>
      </c>
      <c r="E142" s="333">
        <f>Stok!L147</f>
        <v>0</v>
      </c>
      <c r="F142" s="134">
        <f>'Impor_Pangan Masuk'!F149+'ESTIMASI  Ekspor Impor'!J142</f>
        <v>63.029507460292699</v>
      </c>
      <c r="G142" s="134">
        <f>'Ekspor_Pangan Keluar'!F149+'ESTIMASI  Ekspor Impor'!K142</f>
        <v>0</v>
      </c>
      <c r="H142" s="134">
        <f t="shared" si="18"/>
        <v>63.029507460292699</v>
      </c>
      <c r="I142" s="134">
        <f>'Pemakaian Dalam Negeri REVISI'!E142</f>
        <v>0</v>
      </c>
      <c r="J142" s="134">
        <f>'Pemakaian Dalam Negeri REVISI'!F142</f>
        <v>0</v>
      </c>
      <c r="K142" s="134">
        <f>'Pemakaian Dalam Negeri REVISI'!G142</f>
        <v>0</v>
      </c>
      <c r="L142" s="134">
        <f>'Pemakaian Dalam Negeri REVISI'!H142</f>
        <v>0.630295074602927</v>
      </c>
      <c r="M142" s="134">
        <f>'Pemakaian Dalam Negeri REVISI'!I142</f>
        <v>0</v>
      </c>
      <c r="N142" s="134">
        <f>'Pemakaian Dalam Negeri REVISI'!J142</f>
        <v>62.399212385689772</v>
      </c>
      <c r="O142" s="126">
        <f t="shared" si="19"/>
        <v>0.25150324413328939</v>
      </c>
      <c r="P142" s="126">
        <f t="shared" si="20"/>
        <v>0.68904998392682026</v>
      </c>
      <c r="Q142" s="122">
        <f t="shared" si="21"/>
        <v>0.45422174940455989</v>
      </c>
      <c r="R142" s="126">
        <f t="shared" si="22"/>
        <v>9.7018237736896287E-2</v>
      </c>
      <c r="S142" s="127">
        <f t="shared" si="23"/>
        <v>4.4099198971316493E-3</v>
      </c>
      <c r="T142" s="576">
        <v>80</v>
      </c>
      <c r="U142" s="575">
        <v>82.4</v>
      </c>
      <c r="V142" s="575">
        <v>17.600000000000001</v>
      </c>
      <c r="W142" s="574">
        <v>0.8</v>
      </c>
      <c r="X142" s="187"/>
      <c r="Y142" s="187"/>
      <c r="Z142" s="187"/>
      <c r="AA142" s="187"/>
      <c r="AB142" s="187"/>
      <c r="AC142" s="364"/>
      <c r="AE142" s="56">
        <v>80</v>
      </c>
      <c r="AF142" s="56">
        <v>125</v>
      </c>
      <c r="AG142" s="56">
        <v>21.3</v>
      </c>
      <c r="AH142" s="56">
        <v>3.4</v>
      </c>
    </row>
    <row r="143" spans="1:34" s="163" customFormat="1" x14ac:dyDescent="0.2">
      <c r="A143" s="297">
        <v>112</v>
      </c>
      <c r="B143" s="282" t="s">
        <v>142</v>
      </c>
      <c r="C143" s="45"/>
      <c r="D143" s="133">
        <f>Produksi!F151</f>
        <v>0</v>
      </c>
      <c r="E143" s="333">
        <f>Stok!L148</f>
        <v>0</v>
      </c>
      <c r="F143" s="134">
        <f>'Impor_Pangan Masuk'!F150+'ESTIMASI  Ekspor Impor'!J143</f>
        <v>6.47630990382926</v>
      </c>
      <c r="G143" s="134">
        <f>'Ekspor_Pangan Keluar'!F150+'ESTIMASI  Ekspor Impor'!K143</f>
        <v>0</v>
      </c>
      <c r="H143" s="134">
        <f t="shared" si="18"/>
        <v>6.47630990382926</v>
      </c>
      <c r="I143" s="134">
        <f>'Pemakaian Dalam Negeri REVISI'!E143</f>
        <v>0</v>
      </c>
      <c r="J143" s="134">
        <f>'Pemakaian Dalam Negeri REVISI'!F143</f>
        <v>0</v>
      </c>
      <c r="K143" s="134">
        <f>'Pemakaian Dalam Negeri REVISI'!G143</f>
        <v>0</v>
      </c>
      <c r="L143" s="134">
        <f>'Pemakaian Dalam Negeri REVISI'!H143</f>
        <v>6.4763099038292596E-2</v>
      </c>
      <c r="M143" s="134">
        <f>'Pemakaian Dalam Negeri REVISI'!I143</f>
        <v>0</v>
      </c>
      <c r="N143" s="134">
        <f>'Pemakaian Dalam Negeri REVISI'!J143</f>
        <v>6.4115468047909676</v>
      </c>
      <c r="O143" s="126">
        <f t="shared" si="19"/>
        <v>2.5842070110602234E-2</v>
      </c>
      <c r="P143" s="126">
        <f t="shared" si="20"/>
        <v>7.0800192083841737E-2</v>
      </c>
      <c r="Q143" s="122">
        <f t="shared" si="21"/>
        <v>5.1202698915034352E-2</v>
      </c>
      <c r="R143" s="126">
        <f t="shared" si="22"/>
        <v>7.7030608987219808E-3</v>
      </c>
      <c r="S143" s="127">
        <f t="shared" si="23"/>
        <v>2.0390455320146422E-3</v>
      </c>
      <c r="T143" s="576">
        <v>80</v>
      </c>
      <c r="U143" s="575">
        <v>90.4</v>
      </c>
      <c r="V143" s="575">
        <v>13.6</v>
      </c>
      <c r="W143" s="574">
        <v>3.6</v>
      </c>
      <c r="X143" s="187"/>
      <c r="Y143" s="187"/>
      <c r="Z143" s="187"/>
      <c r="AA143" s="187"/>
      <c r="AB143" s="187"/>
      <c r="AC143" s="364"/>
      <c r="AE143" s="56"/>
      <c r="AF143" s="56"/>
      <c r="AG143" s="56"/>
      <c r="AH143" s="56"/>
    </row>
    <row r="144" spans="1:34" s="163" customFormat="1" x14ac:dyDescent="0.2">
      <c r="A144" s="297">
        <v>113</v>
      </c>
      <c r="B144" s="282" t="s">
        <v>143</v>
      </c>
      <c r="C144" s="45"/>
      <c r="D144" s="133">
        <f>Produksi!F152</f>
        <v>0</v>
      </c>
      <c r="E144" s="333">
        <f>Stok!L149</f>
        <v>0</v>
      </c>
      <c r="F144" s="134">
        <f>'Impor_Pangan Masuk'!F151+'ESTIMASI  Ekspor Impor'!J144</f>
        <v>1.14090724695353</v>
      </c>
      <c r="G144" s="134">
        <f>'Ekspor_Pangan Keluar'!F151+'ESTIMASI  Ekspor Impor'!K144</f>
        <v>0</v>
      </c>
      <c r="H144" s="134">
        <f t="shared" si="18"/>
        <v>1.14090724695353</v>
      </c>
      <c r="I144" s="134">
        <f>'Pemakaian Dalam Negeri REVISI'!E144</f>
        <v>0</v>
      </c>
      <c r="J144" s="134">
        <f>'Pemakaian Dalam Negeri REVISI'!F144</f>
        <v>0</v>
      </c>
      <c r="K144" s="134">
        <f>'Pemakaian Dalam Negeri REVISI'!G144</f>
        <v>0</v>
      </c>
      <c r="L144" s="134">
        <f>'Pemakaian Dalam Negeri REVISI'!H144</f>
        <v>1.1409072469535301E-2</v>
      </c>
      <c r="M144" s="134">
        <f>'Pemakaian Dalam Negeri REVISI'!I144</f>
        <v>0</v>
      </c>
      <c r="N144" s="134">
        <f>'Pemakaian Dalam Negeri REVISI'!J144</f>
        <v>1.1294981744839947</v>
      </c>
      <c r="O144" s="126">
        <f t="shared" si="19"/>
        <v>4.5525006528848453E-3</v>
      </c>
      <c r="P144" s="126">
        <f t="shared" si="20"/>
        <v>1.247260452845163E-2</v>
      </c>
      <c r="Q144" s="122">
        <f t="shared" si="21"/>
        <v>1.0297382298689666E-2</v>
      </c>
      <c r="R144" s="126">
        <f t="shared" si="22"/>
        <v>1.5964933796418085E-3</v>
      </c>
      <c r="S144" s="127">
        <f t="shared" si="23"/>
        <v>3.8315841111403402E-4</v>
      </c>
      <c r="T144" s="576">
        <v>80</v>
      </c>
      <c r="U144" s="575">
        <v>103.2</v>
      </c>
      <c r="V144" s="575">
        <v>16</v>
      </c>
      <c r="W144" s="574">
        <v>3.84</v>
      </c>
      <c r="X144" s="187"/>
      <c r="Y144" s="187"/>
      <c r="Z144" s="187"/>
      <c r="AA144" s="187"/>
      <c r="AB144" s="187"/>
      <c r="AC144" s="364"/>
      <c r="AE144" s="358"/>
      <c r="AF144" s="56">
        <v>123</v>
      </c>
      <c r="AG144" s="56">
        <v>20</v>
      </c>
      <c r="AH144" s="56">
        <v>4.5999999999999996</v>
      </c>
    </row>
    <row r="145" spans="1:34" s="163" customFormat="1" x14ac:dyDescent="0.2">
      <c r="A145" s="297">
        <v>114</v>
      </c>
      <c r="B145" s="282" t="s">
        <v>144</v>
      </c>
      <c r="C145" s="45"/>
      <c r="D145" s="133">
        <f>Produksi!F153</f>
        <v>0</v>
      </c>
      <c r="E145" s="333">
        <f>Stok!L150</f>
        <v>0</v>
      </c>
      <c r="F145" s="134">
        <f>'Impor_Pangan Masuk'!F152+'ESTIMASI  Ekspor Impor'!J145</f>
        <v>0</v>
      </c>
      <c r="G145" s="134">
        <f>'Ekspor_Pangan Keluar'!F152+'ESTIMASI  Ekspor Impor'!K145</f>
        <v>0</v>
      </c>
      <c r="H145" s="134">
        <f t="shared" si="18"/>
        <v>0</v>
      </c>
      <c r="I145" s="134">
        <f>'Pemakaian Dalam Negeri REVISI'!E145</f>
        <v>0</v>
      </c>
      <c r="J145" s="134">
        <f>'Pemakaian Dalam Negeri REVISI'!F145</f>
        <v>0</v>
      </c>
      <c r="K145" s="134">
        <f>'Pemakaian Dalam Negeri REVISI'!G145</f>
        <v>0</v>
      </c>
      <c r="L145" s="134">
        <f>'Pemakaian Dalam Negeri REVISI'!H145</f>
        <v>0</v>
      </c>
      <c r="M145" s="134">
        <f>'Pemakaian Dalam Negeri REVISI'!I145</f>
        <v>0</v>
      </c>
      <c r="N145" s="134">
        <f>'Pemakaian Dalam Negeri REVISI'!J145</f>
        <v>0</v>
      </c>
      <c r="O145" s="126">
        <f t="shared" si="19"/>
        <v>0</v>
      </c>
      <c r="P145" s="126">
        <f t="shared" si="20"/>
        <v>0</v>
      </c>
      <c r="Q145" s="122">
        <f t="shared" si="21"/>
        <v>0</v>
      </c>
      <c r="R145" s="126">
        <f t="shared" si="22"/>
        <v>0</v>
      </c>
      <c r="S145" s="127">
        <f t="shared" si="23"/>
        <v>0</v>
      </c>
      <c r="T145" s="576">
        <v>90</v>
      </c>
      <c r="U145" s="575">
        <v>64</v>
      </c>
      <c r="V145" s="575">
        <v>10.8</v>
      </c>
      <c r="W145" s="574">
        <v>2</v>
      </c>
      <c r="X145" s="187"/>
      <c r="Y145" s="187"/>
      <c r="Z145" s="187"/>
      <c r="AA145" s="187"/>
      <c r="AB145" s="187"/>
      <c r="AC145" s="364"/>
      <c r="AE145" s="56"/>
      <c r="AF145" s="56"/>
      <c r="AG145" s="56"/>
      <c r="AH145" s="56"/>
    </row>
    <row r="146" spans="1:34" s="163" customFormat="1" x14ac:dyDescent="0.2">
      <c r="A146" s="297">
        <v>115</v>
      </c>
      <c r="B146" s="282" t="s">
        <v>145</v>
      </c>
      <c r="C146" s="45"/>
      <c r="D146" s="133">
        <f>Produksi!F154</f>
        <v>0</v>
      </c>
      <c r="E146" s="333">
        <f>Stok!L151</f>
        <v>0</v>
      </c>
      <c r="F146" s="134">
        <f>'Impor_Pangan Masuk'!F153+'ESTIMASI  Ekspor Impor'!J146</f>
        <v>40.922301395519497</v>
      </c>
      <c r="G146" s="134">
        <f>'Ekspor_Pangan Keluar'!F153+'ESTIMASI  Ekspor Impor'!K146</f>
        <v>0</v>
      </c>
      <c r="H146" s="134">
        <f t="shared" si="18"/>
        <v>40.922301395519497</v>
      </c>
      <c r="I146" s="134">
        <f>'Pemakaian Dalam Negeri REVISI'!E146</f>
        <v>0</v>
      </c>
      <c r="J146" s="134">
        <f>'Pemakaian Dalam Negeri REVISI'!F146</f>
        <v>0</v>
      </c>
      <c r="K146" s="134">
        <f>'Pemakaian Dalam Negeri REVISI'!G146</f>
        <v>0</v>
      </c>
      <c r="L146" s="134">
        <f>'Pemakaian Dalam Negeri REVISI'!H146</f>
        <v>0.409223013955195</v>
      </c>
      <c r="M146" s="134">
        <f>'Pemakaian Dalam Negeri REVISI'!I146</f>
        <v>0</v>
      </c>
      <c r="N146" s="134">
        <f>'Pemakaian Dalam Negeri REVISI'!J146</f>
        <v>40.513078381564306</v>
      </c>
      <c r="O146" s="126">
        <f t="shared" si="19"/>
        <v>0.16329005212133696</v>
      </c>
      <c r="P146" s="126">
        <f t="shared" si="20"/>
        <v>0.44737000581188208</v>
      </c>
      <c r="Q146" s="122">
        <f t="shared" si="21"/>
        <v>0.25482195531044805</v>
      </c>
      <c r="R146" s="126">
        <f t="shared" si="22"/>
        <v>5.3541242295566047E-2</v>
      </c>
      <c r="S146" s="127">
        <f t="shared" si="23"/>
        <v>2.8631680371960454E-3</v>
      </c>
      <c r="T146" s="576">
        <v>80</v>
      </c>
      <c r="U146" s="575">
        <v>71.2</v>
      </c>
      <c r="V146" s="575">
        <v>14.96</v>
      </c>
      <c r="W146" s="574">
        <v>0.8</v>
      </c>
      <c r="X146" s="187"/>
      <c r="Y146" s="187"/>
      <c r="Z146" s="187"/>
      <c r="AA146" s="187"/>
      <c r="AB146" s="187"/>
      <c r="AC146" s="364"/>
      <c r="AE146" s="56">
        <v>80</v>
      </c>
      <c r="AF146" s="56">
        <v>89</v>
      </c>
      <c r="AG146" s="56">
        <v>18.7</v>
      </c>
      <c r="AH146" s="56">
        <v>1</v>
      </c>
    </row>
    <row r="147" spans="1:34" ht="14.1" customHeight="1" x14ac:dyDescent="0.2">
      <c r="A147" s="297">
        <v>116</v>
      </c>
      <c r="B147" s="282" t="s">
        <v>146</v>
      </c>
      <c r="C147" s="45"/>
      <c r="D147" s="133">
        <f>Produksi!F155</f>
        <v>3017.43</v>
      </c>
      <c r="E147" s="333">
        <f>Stok!L152</f>
        <v>0</v>
      </c>
      <c r="F147" s="134">
        <f>'Impor_Pangan Masuk'!F154+'ESTIMASI  Ekspor Impor'!J147</f>
        <v>178</v>
      </c>
      <c r="G147" s="134">
        <f>'Ekspor_Pangan Keluar'!F154+'ESTIMASI  Ekspor Impor'!K147</f>
        <v>0</v>
      </c>
      <c r="H147" s="134">
        <f t="shared" si="18"/>
        <v>3195.43</v>
      </c>
      <c r="I147" s="134">
        <f>'Pemakaian Dalam Negeri REVISI'!E147</f>
        <v>0</v>
      </c>
      <c r="J147" s="134">
        <f>'Pemakaian Dalam Negeri REVISI'!F147</f>
        <v>0</v>
      </c>
      <c r="K147" s="134">
        <f>'Pemakaian Dalam Negeri REVISI'!G147</f>
        <v>0</v>
      </c>
      <c r="L147" s="134">
        <f>'Pemakaian Dalam Negeri REVISI'!H147</f>
        <v>31.9543</v>
      </c>
      <c r="M147" s="134">
        <f>'Pemakaian Dalam Negeri REVISI'!I147</f>
        <v>0</v>
      </c>
      <c r="N147" s="134">
        <f>'Pemakaian Dalam Negeri REVISI'!J147</f>
        <v>3163.4757</v>
      </c>
      <c r="O147" s="126">
        <f t="shared" si="19"/>
        <v>12.750551984039015</v>
      </c>
      <c r="P147" s="126">
        <f t="shared" si="20"/>
        <v>34.933019134353465</v>
      </c>
      <c r="Q147" s="122">
        <f t="shared" si="21"/>
        <v>19.227133731548147</v>
      </c>
      <c r="R147" s="126">
        <f t="shared" si="22"/>
        <v>3.5771411593577955</v>
      </c>
      <c r="S147" s="127">
        <f t="shared" si="23"/>
        <v>0.44714264491972444</v>
      </c>
      <c r="T147" s="576">
        <v>80</v>
      </c>
      <c r="U147" s="575">
        <v>68.8</v>
      </c>
      <c r="V147" s="575">
        <v>12.8</v>
      </c>
      <c r="W147" s="574">
        <v>1.6</v>
      </c>
      <c r="X147" s="187"/>
      <c r="Y147" s="187"/>
      <c r="Z147" s="187"/>
      <c r="AA147" s="187"/>
      <c r="AB147" s="187"/>
      <c r="AC147" s="364"/>
      <c r="AE147" s="56">
        <v>80</v>
      </c>
      <c r="AF147" s="56">
        <v>86</v>
      </c>
      <c r="AG147" s="56">
        <v>16</v>
      </c>
      <c r="AH147" s="56">
        <v>2</v>
      </c>
    </row>
    <row r="148" spans="1:34" ht="14.1" customHeight="1" x14ac:dyDescent="0.2">
      <c r="A148" s="297">
        <v>117</v>
      </c>
      <c r="B148" s="282" t="s">
        <v>147</v>
      </c>
      <c r="C148" s="45"/>
      <c r="D148" s="133">
        <f>Produksi!F156</f>
        <v>9288.51</v>
      </c>
      <c r="E148" s="333">
        <f>Stok!L153</f>
        <v>0</v>
      </c>
      <c r="F148" s="134">
        <f>'Impor_Pangan Masuk'!F155+'ESTIMASI  Ekspor Impor'!J148</f>
        <v>858.85</v>
      </c>
      <c r="G148" s="134">
        <f>'Ekspor_Pangan Keluar'!F155+'ESTIMASI  Ekspor Impor'!K148</f>
        <v>0</v>
      </c>
      <c r="H148" s="134">
        <f t="shared" si="18"/>
        <v>10147.36</v>
      </c>
      <c r="I148" s="134">
        <f>'Pemakaian Dalam Negeri REVISI'!E148</f>
        <v>0</v>
      </c>
      <c r="J148" s="134">
        <f>'Pemakaian Dalam Negeri REVISI'!F148</f>
        <v>0</v>
      </c>
      <c r="K148" s="134">
        <f>'Pemakaian Dalam Negeri REVISI'!G148</f>
        <v>0</v>
      </c>
      <c r="L148" s="134">
        <f>'Pemakaian Dalam Negeri REVISI'!H148</f>
        <v>101.4736</v>
      </c>
      <c r="M148" s="134">
        <f>'Pemakaian Dalam Negeri REVISI'!I148</f>
        <v>0</v>
      </c>
      <c r="N148" s="134">
        <f>'Pemakaian Dalam Negeri REVISI'!J148</f>
        <v>10045.886400000001</v>
      </c>
      <c r="O148" s="126">
        <f t="shared" si="19"/>
        <v>40.490463311904236</v>
      </c>
      <c r="P148" s="126">
        <f t="shared" si="20"/>
        <v>110.93277619699791</v>
      </c>
      <c r="Q148" s="122">
        <f t="shared" si="21"/>
        <v>74.54682560438259</v>
      </c>
      <c r="R148" s="126">
        <f t="shared" si="22"/>
        <v>13.134440701724552</v>
      </c>
      <c r="S148" s="127">
        <f t="shared" si="23"/>
        <v>2.0411630820247613</v>
      </c>
      <c r="T148" s="576">
        <v>80</v>
      </c>
      <c r="U148" s="390">
        <v>84</v>
      </c>
      <c r="V148" s="390">
        <v>14.8</v>
      </c>
      <c r="W148" s="391">
        <v>2.2999999999999998</v>
      </c>
      <c r="X148" s="187"/>
      <c r="Y148" s="187"/>
      <c r="Z148" s="187"/>
      <c r="AA148" s="187"/>
      <c r="AB148" s="187"/>
      <c r="AC148" s="364"/>
      <c r="AE148" s="358"/>
      <c r="AF148" s="358"/>
      <c r="AG148" s="358"/>
      <c r="AH148" s="358"/>
    </row>
    <row r="149" spans="1:34" s="65" customFormat="1" ht="14.1" customHeight="1" x14ac:dyDescent="0.2">
      <c r="A149" s="297">
        <v>118</v>
      </c>
      <c r="B149" s="282" t="s">
        <v>148</v>
      </c>
      <c r="C149" s="45"/>
      <c r="D149" s="133">
        <f>Produksi!F157</f>
        <v>617.46</v>
      </c>
      <c r="E149" s="333">
        <f>Stok!L154</f>
        <v>0</v>
      </c>
      <c r="F149" s="134">
        <f>'Impor_Pangan Masuk'!F156+'ESTIMASI  Ekspor Impor'!J149</f>
        <v>954.65</v>
      </c>
      <c r="G149" s="134">
        <f>'Ekspor_Pangan Keluar'!F156+'ESTIMASI  Ekspor Impor'!K149</f>
        <v>0</v>
      </c>
      <c r="H149" s="134">
        <f t="shared" si="18"/>
        <v>1572.1100000000001</v>
      </c>
      <c r="I149" s="134">
        <f>'Pemakaian Dalam Negeri REVISI'!E149</f>
        <v>0</v>
      </c>
      <c r="J149" s="134">
        <f>'Pemakaian Dalam Negeri REVISI'!F149</f>
        <v>0</v>
      </c>
      <c r="K149" s="134">
        <f>'Pemakaian Dalam Negeri REVISI'!G149</f>
        <v>0</v>
      </c>
      <c r="L149" s="134">
        <f>'Pemakaian Dalam Negeri REVISI'!H149</f>
        <v>15.721100000000002</v>
      </c>
      <c r="M149" s="134">
        <f>'Pemakaian Dalam Negeri REVISI'!I149</f>
        <v>0</v>
      </c>
      <c r="N149" s="134">
        <f>'Pemakaian Dalam Negeri REVISI'!J149</f>
        <v>1556.3889000000001</v>
      </c>
      <c r="O149" s="126">
        <f t="shared" si="19"/>
        <v>6.2731057415207276</v>
      </c>
      <c r="P149" s="126">
        <f t="shared" si="20"/>
        <v>17.186591072659528</v>
      </c>
      <c r="Q149" s="122">
        <f t="shared" si="21"/>
        <v>12.37434557231486</v>
      </c>
      <c r="R149" s="126">
        <f t="shared" si="22"/>
        <v>2.5711140244698654</v>
      </c>
      <c r="S149" s="127">
        <f t="shared" si="23"/>
        <v>0.15124200143940386</v>
      </c>
      <c r="T149" s="576">
        <v>80</v>
      </c>
      <c r="U149" s="390">
        <v>90</v>
      </c>
      <c r="V149" s="390">
        <v>18.7</v>
      </c>
      <c r="W149" s="391">
        <v>1.1000000000000001</v>
      </c>
      <c r="X149" s="187"/>
      <c r="Y149" s="187"/>
      <c r="Z149" s="187"/>
      <c r="AA149" s="187"/>
      <c r="AB149" s="187"/>
      <c r="AC149" s="364"/>
      <c r="AE149" s="358"/>
      <c r="AF149" s="56">
        <v>132</v>
      </c>
      <c r="AG149" s="56">
        <v>17</v>
      </c>
      <c r="AH149" s="56">
        <v>6.6</v>
      </c>
    </row>
    <row r="150" spans="1:34" ht="14.1" customHeight="1" x14ac:dyDescent="0.2">
      <c r="A150" s="297">
        <v>119</v>
      </c>
      <c r="B150" s="282" t="s">
        <v>149</v>
      </c>
      <c r="C150" s="45"/>
      <c r="D150" s="133">
        <f>Produksi!F158</f>
        <v>10233.75</v>
      </c>
      <c r="E150" s="333">
        <f>Stok!L155</f>
        <v>0</v>
      </c>
      <c r="F150" s="134">
        <f>'Impor_Pangan Masuk'!F157+'ESTIMASI  Ekspor Impor'!J150</f>
        <v>808.75</v>
      </c>
      <c r="G150" s="134">
        <f>'Ekspor_Pangan Keluar'!F157+'ESTIMASI  Ekspor Impor'!K150</f>
        <v>0</v>
      </c>
      <c r="H150" s="134">
        <f t="shared" si="18"/>
        <v>11042.5</v>
      </c>
      <c r="I150" s="134">
        <f>'Pemakaian Dalam Negeri REVISI'!E150</f>
        <v>0</v>
      </c>
      <c r="J150" s="134">
        <f>'Pemakaian Dalam Negeri REVISI'!F150</f>
        <v>0</v>
      </c>
      <c r="K150" s="134">
        <f>'Pemakaian Dalam Negeri REVISI'!G150</f>
        <v>0</v>
      </c>
      <c r="L150" s="134">
        <f>'Pemakaian Dalam Negeri REVISI'!H150</f>
        <v>110.425</v>
      </c>
      <c r="M150" s="134">
        <f>'Pemakaian Dalam Negeri REVISI'!I150</f>
        <v>0</v>
      </c>
      <c r="N150" s="134">
        <f>'Pemakaian Dalam Negeri REVISI'!J150</f>
        <v>10932.075000000001</v>
      </c>
      <c r="O150" s="126">
        <f t="shared" si="19"/>
        <v>44.06229217468411</v>
      </c>
      <c r="P150" s="126">
        <f t="shared" si="20"/>
        <v>120.71860869776468</v>
      </c>
      <c r="Q150" s="122">
        <f t="shared" si="21"/>
        <v>79.19140730573362</v>
      </c>
      <c r="R150" s="126">
        <f t="shared" si="22"/>
        <v>15.500269356792984</v>
      </c>
      <c r="S150" s="127">
        <f t="shared" si="23"/>
        <v>1.2941034852400373</v>
      </c>
      <c r="T150" s="576">
        <v>80</v>
      </c>
      <c r="U150" s="390">
        <v>82</v>
      </c>
      <c r="V150" s="390">
        <v>16.05</v>
      </c>
      <c r="W150" s="391">
        <v>1.34</v>
      </c>
      <c r="X150" s="187"/>
      <c r="Y150" s="187"/>
      <c r="Z150" s="187"/>
      <c r="AA150" s="187"/>
      <c r="AB150" s="187"/>
      <c r="AC150" s="364"/>
      <c r="AE150" s="358"/>
      <c r="AF150" s="358"/>
      <c r="AG150" s="358"/>
      <c r="AH150" s="358"/>
    </row>
    <row r="151" spans="1:34" ht="14.1" customHeight="1" x14ac:dyDescent="0.2">
      <c r="A151" s="297">
        <v>120</v>
      </c>
      <c r="B151" s="282" t="s">
        <v>150</v>
      </c>
      <c r="C151" s="45"/>
      <c r="D151" s="133">
        <f>Produksi!F159</f>
        <v>0</v>
      </c>
      <c r="E151" s="333">
        <f>Stok!L156</f>
        <v>0</v>
      </c>
      <c r="F151" s="134">
        <f>'Impor_Pangan Masuk'!F158+'ESTIMASI  Ekspor Impor'!J151</f>
        <v>0</v>
      </c>
      <c r="G151" s="134">
        <f>'Ekspor_Pangan Keluar'!F158+'ESTIMASI  Ekspor Impor'!K151</f>
        <v>0</v>
      </c>
      <c r="H151" s="134">
        <f t="shared" si="18"/>
        <v>0</v>
      </c>
      <c r="I151" s="134">
        <f>'Pemakaian Dalam Negeri REVISI'!E151</f>
        <v>0</v>
      </c>
      <c r="J151" s="134">
        <f>'Pemakaian Dalam Negeri REVISI'!F151</f>
        <v>0</v>
      </c>
      <c r="K151" s="134">
        <f>'Pemakaian Dalam Negeri REVISI'!G151</f>
        <v>0</v>
      </c>
      <c r="L151" s="134">
        <f>'Pemakaian Dalam Negeri REVISI'!H151</f>
        <v>0</v>
      </c>
      <c r="M151" s="134">
        <f>'Pemakaian Dalam Negeri REVISI'!I151</f>
        <v>0</v>
      </c>
      <c r="N151" s="134">
        <f>'Pemakaian Dalam Negeri REVISI'!J151</f>
        <v>0</v>
      </c>
      <c r="O151" s="126">
        <f t="shared" si="19"/>
        <v>0</v>
      </c>
      <c r="P151" s="126">
        <f t="shared" si="20"/>
        <v>0</v>
      </c>
      <c r="Q151" s="122">
        <f t="shared" si="21"/>
        <v>0</v>
      </c>
      <c r="R151" s="126">
        <f t="shared" si="22"/>
        <v>0</v>
      </c>
      <c r="S151" s="127">
        <f t="shared" si="23"/>
        <v>0</v>
      </c>
      <c r="T151" s="576">
        <v>80</v>
      </c>
      <c r="U151" s="390">
        <v>82.13</v>
      </c>
      <c r="V151" s="390">
        <v>16.97</v>
      </c>
      <c r="W151" s="391">
        <v>0.47</v>
      </c>
      <c r="X151" s="187"/>
      <c r="Y151" s="187"/>
      <c r="Z151" s="187"/>
      <c r="AA151" s="187"/>
      <c r="AB151" s="187"/>
      <c r="AC151" s="364"/>
      <c r="AE151" s="358"/>
      <c r="AF151" s="358"/>
      <c r="AG151" s="358"/>
      <c r="AH151" s="358"/>
    </row>
    <row r="152" spans="1:34" ht="14.1" customHeight="1" x14ac:dyDescent="0.2">
      <c r="A152" s="297">
        <v>121</v>
      </c>
      <c r="B152" s="282" t="s">
        <v>151</v>
      </c>
      <c r="C152" s="45"/>
      <c r="D152" s="133">
        <f>Produksi!F160</f>
        <v>600.47</v>
      </c>
      <c r="E152" s="333">
        <f>Stok!L157</f>
        <v>0</v>
      </c>
      <c r="F152" s="134">
        <f>'Impor_Pangan Masuk'!F159+'ESTIMASI  Ekspor Impor'!J152</f>
        <v>239.55</v>
      </c>
      <c r="G152" s="134">
        <f>'Ekspor_Pangan Keluar'!F159+'ESTIMASI  Ekspor Impor'!K152</f>
        <v>0</v>
      </c>
      <c r="H152" s="134">
        <f t="shared" si="18"/>
        <v>840.02</v>
      </c>
      <c r="I152" s="134">
        <f>'Pemakaian Dalam Negeri REVISI'!E152</f>
        <v>0</v>
      </c>
      <c r="J152" s="134">
        <f>'Pemakaian Dalam Negeri REVISI'!F152</f>
        <v>0</v>
      </c>
      <c r="K152" s="134">
        <f>'Pemakaian Dalam Negeri REVISI'!G152</f>
        <v>0</v>
      </c>
      <c r="L152" s="134">
        <f>'Pemakaian Dalam Negeri REVISI'!H152</f>
        <v>8.4001999999999999</v>
      </c>
      <c r="M152" s="134">
        <f>'Pemakaian Dalam Negeri REVISI'!I152</f>
        <v>0</v>
      </c>
      <c r="N152" s="134">
        <f>'Pemakaian Dalam Negeri REVISI'!J152</f>
        <v>831.61979999999994</v>
      </c>
      <c r="O152" s="126">
        <f t="shared" si="19"/>
        <v>3.3518864996674793</v>
      </c>
      <c r="P152" s="126">
        <f t="shared" si="20"/>
        <v>9.1832506840204911</v>
      </c>
      <c r="Q152" s="122">
        <f t="shared" si="21"/>
        <v>5.6186800985110983</v>
      </c>
      <c r="R152" s="126">
        <f t="shared" si="22"/>
        <v>1.5185423331096286</v>
      </c>
      <c r="S152" s="127">
        <f t="shared" si="23"/>
        <v>0.20497015526733739</v>
      </c>
      <c r="T152" s="576">
        <v>80</v>
      </c>
      <c r="U152" s="390">
        <v>76.48</v>
      </c>
      <c r="V152" s="390">
        <v>20.67</v>
      </c>
      <c r="W152" s="391">
        <v>2.79</v>
      </c>
      <c r="X152" s="187"/>
      <c r="Y152" s="187"/>
      <c r="Z152" s="187"/>
      <c r="AA152" s="187"/>
      <c r="AB152" s="187"/>
      <c r="AC152" s="364"/>
      <c r="AE152" s="358"/>
      <c r="AF152" s="358"/>
      <c r="AG152" s="358"/>
      <c r="AH152" s="358"/>
    </row>
    <row r="153" spans="1:34" ht="14.1" customHeight="1" x14ac:dyDescent="0.2">
      <c r="A153" s="297">
        <v>122</v>
      </c>
      <c r="B153" s="282" t="s">
        <v>152</v>
      </c>
      <c r="C153" s="45"/>
      <c r="D153" s="133">
        <f>Produksi!F161</f>
        <v>0</v>
      </c>
      <c r="E153" s="333">
        <f>Stok!L158</f>
        <v>0</v>
      </c>
      <c r="F153" s="134">
        <f>'Impor_Pangan Masuk'!F160+'ESTIMASI  Ekspor Impor'!J153</f>
        <v>137</v>
      </c>
      <c r="G153" s="134">
        <f>'Ekspor_Pangan Keluar'!F160+'ESTIMASI  Ekspor Impor'!K153</f>
        <v>0</v>
      </c>
      <c r="H153" s="134">
        <f t="shared" si="18"/>
        <v>137</v>
      </c>
      <c r="I153" s="134">
        <f>'Pemakaian Dalam Negeri REVISI'!E153</f>
        <v>0</v>
      </c>
      <c r="J153" s="134">
        <f>'Pemakaian Dalam Negeri REVISI'!F153</f>
        <v>0</v>
      </c>
      <c r="K153" s="134">
        <f>'Pemakaian Dalam Negeri REVISI'!G153</f>
        <v>0</v>
      </c>
      <c r="L153" s="134">
        <f>'Pemakaian Dalam Negeri REVISI'!H153</f>
        <v>0.68500000000000005</v>
      </c>
      <c r="M153" s="134">
        <f>'Pemakaian Dalam Negeri REVISI'!I153</f>
        <v>0</v>
      </c>
      <c r="N153" s="134">
        <f>'Pemakaian Dalam Negeri REVISI'!J153</f>
        <v>136.315</v>
      </c>
      <c r="O153" s="126">
        <f t="shared" si="19"/>
        <v>0.54942463876181458</v>
      </c>
      <c r="P153" s="126">
        <f t="shared" si="20"/>
        <v>1.505272982909081</v>
      </c>
      <c r="Q153" s="122">
        <f t="shared" si="21"/>
        <v>0.63339478684041473</v>
      </c>
      <c r="R153" s="126">
        <f t="shared" si="22"/>
        <v>0.14616802773240337</v>
      </c>
      <c r="S153" s="127">
        <f t="shared" si="23"/>
        <v>1.4330198797294451E-3</v>
      </c>
      <c r="T153" s="576">
        <v>68</v>
      </c>
      <c r="U153" s="575">
        <v>61.88</v>
      </c>
      <c r="V153" s="575">
        <v>14.28</v>
      </c>
      <c r="W153" s="574">
        <v>0.14000000000000001</v>
      </c>
      <c r="X153" s="187"/>
      <c r="Y153" s="187"/>
      <c r="Z153" s="187"/>
      <c r="AA153" s="187"/>
      <c r="AB153" s="187"/>
      <c r="AC153" s="364"/>
      <c r="AE153" s="56">
        <v>68</v>
      </c>
      <c r="AF153" s="56">
        <v>91</v>
      </c>
      <c r="AG153" s="56">
        <v>21</v>
      </c>
      <c r="AH153" s="56">
        <v>0.2</v>
      </c>
    </row>
    <row r="154" spans="1:34" ht="14.1" customHeight="1" x14ac:dyDescent="0.2">
      <c r="A154" s="297">
        <v>123</v>
      </c>
      <c r="B154" s="282" t="s">
        <v>153</v>
      </c>
      <c r="C154" s="45"/>
      <c r="D154" s="133">
        <f>Produksi!F162</f>
        <v>0</v>
      </c>
      <c r="E154" s="333">
        <f>Stok!L159</f>
        <v>0</v>
      </c>
      <c r="F154" s="134">
        <f>'Impor_Pangan Masuk'!F161+'ESTIMASI  Ekspor Impor'!J154</f>
        <v>0</v>
      </c>
      <c r="G154" s="134">
        <f>'Ekspor_Pangan Keluar'!F161+'ESTIMASI  Ekspor Impor'!K154</f>
        <v>0</v>
      </c>
      <c r="H154" s="134">
        <f t="shared" si="18"/>
        <v>0</v>
      </c>
      <c r="I154" s="134">
        <f>'Pemakaian Dalam Negeri REVISI'!E154</f>
        <v>0</v>
      </c>
      <c r="J154" s="134">
        <f>'Pemakaian Dalam Negeri REVISI'!F154</f>
        <v>0</v>
      </c>
      <c r="K154" s="134">
        <f>'Pemakaian Dalam Negeri REVISI'!G154</f>
        <v>0</v>
      </c>
      <c r="L154" s="134">
        <f>'Pemakaian Dalam Negeri REVISI'!H154</f>
        <v>0</v>
      </c>
      <c r="M154" s="134">
        <f>'Pemakaian Dalam Negeri REVISI'!I154</f>
        <v>0</v>
      </c>
      <c r="N154" s="134">
        <f>'Pemakaian Dalam Negeri REVISI'!J154</f>
        <v>0</v>
      </c>
      <c r="O154" s="126">
        <f t="shared" si="19"/>
        <v>0</v>
      </c>
      <c r="P154" s="126">
        <f t="shared" si="20"/>
        <v>0</v>
      </c>
      <c r="Q154" s="122">
        <f t="shared" si="21"/>
        <v>0</v>
      </c>
      <c r="R154" s="126">
        <f t="shared" si="22"/>
        <v>0</v>
      </c>
      <c r="S154" s="127">
        <f t="shared" si="23"/>
        <v>0</v>
      </c>
      <c r="T154" s="576">
        <v>45</v>
      </c>
      <c r="U154" s="575">
        <v>67.95</v>
      </c>
      <c r="V154" s="575">
        <v>6.21</v>
      </c>
      <c r="W154" s="574">
        <v>1.71</v>
      </c>
      <c r="X154" s="187"/>
      <c r="Y154" s="187"/>
      <c r="Z154" s="187"/>
      <c r="AA154" s="187"/>
      <c r="AB154" s="187"/>
      <c r="AC154" s="364"/>
      <c r="AE154" s="56"/>
      <c r="AF154" s="56"/>
      <c r="AG154" s="56"/>
      <c r="AH154" s="56"/>
    </row>
    <row r="155" spans="1:34" ht="14.1" customHeight="1" x14ac:dyDescent="0.2">
      <c r="A155" s="297">
        <v>124</v>
      </c>
      <c r="B155" s="282" t="s">
        <v>154</v>
      </c>
      <c r="C155" s="45"/>
      <c r="D155" s="133">
        <f>Produksi!F163</f>
        <v>0</v>
      </c>
      <c r="E155" s="333">
        <f>Stok!L160</f>
        <v>0</v>
      </c>
      <c r="F155" s="134">
        <f>'Impor_Pangan Masuk'!F162+'ESTIMASI  Ekspor Impor'!J155</f>
        <v>5.75101721917334</v>
      </c>
      <c r="G155" s="134">
        <f>'Ekspor_Pangan Keluar'!F162+'ESTIMASI  Ekspor Impor'!K155</f>
        <v>0</v>
      </c>
      <c r="H155" s="134">
        <f t="shared" si="18"/>
        <v>5.75101721917334</v>
      </c>
      <c r="I155" s="134">
        <f>'Pemakaian Dalam Negeri REVISI'!E155</f>
        <v>0</v>
      </c>
      <c r="J155" s="134">
        <f>'Pemakaian Dalam Negeri REVISI'!F155</f>
        <v>0</v>
      </c>
      <c r="K155" s="134">
        <f>'Pemakaian Dalam Negeri REVISI'!G155</f>
        <v>0</v>
      </c>
      <c r="L155" s="134">
        <f>'Pemakaian Dalam Negeri REVISI'!H155</f>
        <v>5.7510172191733398E-2</v>
      </c>
      <c r="M155" s="134">
        <f>'Pemakaian Dalam Negeri REVISI'!I155</f>
        <v>0</v>
      </c>
      <c r="N155" s="134">
        <f>'Pemakaian Dalam Negeri REVISI'!J155</f>
        <v>5.6935070469816065</v>
      </c>
      <c r="O155" s="126">
        <f t="shared" si="19"/>
        <v>2.2947973829554449E-2</v>
      </c>
      <c r="P155" s="126">
        <f t="shared" si="20"/>
        <v>6.2871161176861506E-2</v>
      </c>
      <c r="Q155" s="122">
        <f t="shared" si="21"/>
        <v>1.2699974557726024E-2</v>
      </c>
      <c r="R155" s="126">
        <f t="shared" si="22"/>
        <v>1.8106894418936114E-3</v>
      </c>
      <c r="S155" s="127">
        <f t="shared" si="23"/>
        <v>3.2693003811967985E-4</v>
      </c>
      <c r="T155" s="576">
        <v>20</v>
      </c>
      <c r="U155" s="575">
        <v>101</v>
      </c>
      <c r="V155" s="575">
        <v>14.4</v>
      </c>
      <c r="W155" s="574">
        <v>2.6</v>
      </c>
      <c r="X155" s="187"/>
      <c r="Y155" s="187"/>
      <c r="Z155" s="187"/>
      <c r="AA155" s="187"/>
      <c r="AB155" s="187"/>
      <c r="AC155" s="364"/>
      <c r="AE155" s="56"/>
      <c r="AF155" s="56"/>
      <c r="AG155" s="56"/>
      <c r="AH155" s="56"/>
    </row>
    <row r="156" spans="1:34" ht="14.1" customHeight="1" x14ac:dyDescent="0.2">
      <c r="A156" s="297">
        <v>125</v>
      </c>
      <c r="B156" s="282" t="s">
        <v>155</v>
      </c>
      <c r="C156" s="45"/>
      <c r="D156" s="133">
        <f>Produksi!F164</f>
        <v>0</v>
      </c>
      <c r="E156" s="333">
        <f>Stok!L161</f>
        <v>0</v>
      </c>
      <c r="F156" s="134">
        <f>'Impor_Pangan Masuk'!F163+'ESTIMASI  Ekspor Impor'!J156</f>
        <v>36.886230322514997</v>
      </c>
      <c r="G156" s="134">
        <f>'Ekspor_Pangan Keluar'!F163+'ESTIMASI  Ekspor Impor'!K156</f>
        <v>0</v>
      </c>
      <c r="H156" s="134">
        <f t="shared" si="18"/>
        <v>36.886230322514997</v>
      </c>
      <c r="I156" s="134">
        <f>'Pemakaian Dalam Negeri REVISI'!E156</f>
        <v>0</v>
      </c>
      <c r="J156" s="134">
        <f>'Pemakaian Dalam Negeri REVISI'!F156</f>
        <v>0</v>
      </c>
      <c r="K156" s="134">
        <f>'Pemakaian Dalam Negeri REVISI'!G156</f>
        <v>0</v>
      </c>
      <c r="L156" s="134">
        <f>'Pemakaian Dalam Negeri REVISI'!H156</f>
        <v>0.36886230322514996</v>
      </c>
      <c r="M156" s="134">
        <f>'Pemakaian Dalam Negeri REVISI'!I156</f>
        <v>0</v>
      </c>
      <c r="N156" s="134">
        <f>'Pemakaian Dalam Negeri REVISI'!J156</f>
        <v>36.517368019289847</v>
      </c>
      <c r="O156" s="126">
        <f t="shared" si="19"/>
        <v>0.14718513540351805</v>
      </c>
      <c r="P156" s="126">
        <f t="shared" si="20"/>
        <v>0.40324694631100833</v>
      </c>
      <c r="Q156" s="122">
        <f t="shared" si="21"/>
        <v>0.30243520973325627</v>
      </c>
      <c r="R156" s="126">
        <f t="shared" si="22"/>
        <v>6.4922758356072349E-2</v>
      </c>
      <c r="S156" s="127">
        <f t="shared" si="23"/>
        <v>2.8227286241770582E-3</v>
      </c>
      <c r="T156" s="576">
        <v>100</v>
      </c>
      <c r="U156" s="575">
        <v>75</v>
      </c>
      <c r="V156" s="575">
        <v>16.100000000000001</v>
      </c>
      <c r="W156" s="574">
        <v>0.7</v>
      </c>
      <c r="X156" s="187"/>
      <c r="Y156" s="187"/>
      <c r="Z156" s="187"/>
      <c r="AA156" s="187"/>
      <c r="AB156" s="187"/>
      <c r="AC156" s="364"/>
      <c r="AE156" s="358"/>
      <c r="AF156" s="359">
        <v>75</v>
      </c>
      <c r="AG156" s="359">
        <v>16.100000000000001</v>
      </c>
      <c r="AH156" s="359">
        <v>0.7</v>
      </c>
    </row>
    <row r="157" spans="1:34" ht="14.1" customHeight="1" x14ac:dyDescent="0.2">
      <c r="A157" s="297">
        <v>126</v>
      </c>
      <c r="B157" s="282" t="s">
        <v>156</v>
      </c>
      <c r="C157" s="45"/>
      <c r="D157" s="133">
        <f>Produksi!F165</f>
        <v>0</v>
      </c>
      <c r="E157" s="333">
        <f>Stok!L162</f>
        <v>0</v>
      </c>
      <c r="F157" s="134">
        <f>'Impor_Pangan Masuk'!F164+'ESTIMASI  Ekspor Impor'!J157</f>
        <v>0</v>
      </c>
      <c r="G157" s="134">
        <f>'Ekspor_Pangan Keluar'!F164+'ESTIMASI  Ekspor Impor'!K157</f>
        <v>0</v>
      </c>
      <c r="H157" s="134">
        <f t="shared" si="18"/>
        <v>0</v>
      </c>
      <c r="I157" s="134">
        <f>'Pemakaian Dalam Negeri REVISI'!E157</f>
        <v>0</v>
      </c>
      <c r="J157" s="134">
        <f>'Pemakaian Dalam Negeri REVISI'!F157</f>
        <v>0</v>
      </c>
      <c r="K157" s="134">
        <f>'Pemakaian Dalam Negeri REVISI'!G157</f>
        <v>0</v>
      </c>
      <c r="L157" s="134">
        <f>'Pemakaian Dalam Negeri REVISI'!H157</f>
        <v>0</v>
      </c>
      <c r="M157" s="134">
        <f>'Pemakaian Dalam Negeri REVISI'!I157</f>
        <v>0</v>
      </c>
      <c r="N157" s="134">
        <f>'Pemakaian Dalam Negeri REVISI'!J157</f>
        <v>0</v>
      </c>
      <c r="O157" s="126">
        <f t="shared" si="19"/>
        <v>0</v>
      </c>
      <c r="P157" s="126">
        <f t="shared" si="20"/>
        <v>0</v>
      </c>
      <c r="Q157" s="122">
        <f t="shared" si="21"/>
        <v>0</v>
      </c>
      <c r="R157" s="126">
        <f t="shared" si="22"/>
        <v>0</v>
      </c>
      <c r="S157" s="127">
        <f t="shared" si="23"/>
        <v>0</v>
      </c>
      <c r="T157" s="576">
        <v>100</v>
      </c>
      <c r="U157" s="575">
        <v>41</v>
      </c>
      <c r="V157" s="575">
        <v>1.4</v>
      </c>
      <c r="W157" s="574">
        <v>0.3</v>
      </c>
      <c r="X157" s="187"/>
      <c r="Y157" s="187"/>
      <c r="Z157" s="187"/>
      <c r="AA157" s="187"/>
      <c r="AB157" s="187"/>
      <c r="AC157" s="364"/>
      <c r="AE157" s="56">
        <v>100</v>
      </c>
      <c r="AF157" s="56">
        <v>41</v>
      </c>
      <c r="AG157" s="56">
        <v>1.4</v>
      </c>
      <c r="AH157" s="56">
        <v>0.3</v>
      </c>
    </row>
    <row r="158" spans="1:34" ht="14.1" customHeight="1" x14ac:dyDescent="0.2">
      <c r="A158" s="297">
        <v>127</v>
      </c>
      <c r="B158" s="282" t="s">
        <v>28</v>
      </c>
      <c r="C158" s="45"/>
      <c r="D158" s="133">
        <f>Produksi!F166</f>
        <v>0</v>
      </c>
      <c r="E158" s="333">
        <f>Stok!L163</f>
        <v>0</v>
      </c>
      <c r="F158" s="134">
        <f>'Impor_Pangan Masuk'!F165+'ESTIMASI  Ekspor Impor'!J158</f>
        <v>0</v>
      </c>
      <c r="G158" s="134">
        <f>'Ekspor_Pangan Keluar'!F165+'ESTIMASI  Ekspor Impor'!K158</f>
        <v>0</v>
      </c>
      <c r="H158" s="134">
        <f t="shared" si="18"/>
        <v>0</v>
      </c>
      <c r="I158" s="134">
        <f>'Pemakaian Dalam Negeri REVISI'!E158</f>
        <v>0</v>
      </c>
      <c r="J158" s="134">
        <f>'Pemakaian Dalam Negeri REVISI'!F158</f>
        <v>0</v>
      </c>
      <c r="K158" s="134">
        <f>'Pemakaian Dalam Negeri REVISI'!G158</f>
        <v>0</v>
      </c>
      <c r="L158" s="134">
        <f>'Pemakaian Dalam Negeri REVISI'!H158</f>
        <v>0</v>
      </c>
      <c r="M158" s="134">
        <f>'Pemakaian Dalam Negeri REVISI'!I158</f>
        <v>0</v>
      </c>
      <c r="N158" s="134">
        <f>'Pemakaian Dalam Negeri REVISI'!J158</f>
        <v>0</v>
      </c>
      <c r="O158" s="126">
        <f t="shared" si="19"/>
        <v>0</v>
      </c>
      <c r="P158" s="126">
        <f t="shared" si="20"/>
        <v>0</v>
      </c>
      <c r="Q158" s="122">
        <f t="shared" si="21"/>
        <v>0</v>
      </c>
      <c r="R158" s="126">
        <f t="shared" si="22"/>
        <v>0</v>
      </c>
      <c r="S158" s="127">
        <f t="shared" si="23"/>
        <v>0</v>
      </c>
      <c r="T158" s="576">
        <v>100</v>
      </c>
      <c r="U158" s="575">
        <v>80</v>
      </c>
      <c r="V158" s="575">
        <v>18.100000000000001</v>
      </c>
      <c r="W158" s="574">
        <v>0.9</v>
      </c>
      <c r="X158" s="187"/>
      <c r="Y158" s="187"/>
      <c r="Z158" s="187"/>
      <c r="AA158" s="187"/>
      <c r="AB158" s="187"/>
      <c r="AC158" s="364"/>
      <c r="AE158" s="358"/>
      <c r="AF158" s="358"/>
      <c r="AG158" s="358"/>
      <c r="AH158" s="358"/>
    </row>
    <row r="159" spans="1:34" ht="14.1" customHeight="1" x14ac:dyDescent="0.2">
      <c r="A159" s="297">
        <v>128</v>
      </c>
      <c r="B159" s="282" t="s">
        <v>29</v>
      </c>
      <c r="C159" s="45"/>
      <c r="D159" s="133">
        <f>Produksi!F167</f>
        <v>0</v>
      </c>
      <c r="E159" s="333">
        <f>Stok!L164</f>
        <v>0</v>
      </c>
      <c r="F159" s="134">
        <f>'Impor_Pangan Masuk'!F166+'ESTIMASI  Ekspor Impor'!J159</f>
        <v>12</v>
      </c>
      <c r="G159" s="134">
        <f>'Ekspor_Pangan Keluar'!F166+'ESTIMASI  Ekspor Impor'!K159</f>
        <v>0</v>
      </c>
      <c r="H159" s="134">
        <f t="shared" si="18"/>
        <v>12</v>
      </c>
      <c r="I159" s="134">
        <f>'Pemakaian Dalam Negeri REVISI'!E159</f>
        <v>0</v>
      </c>
      <c r="J159" s="134">
        <f>'Pemakaian Dalam Negeri REVISI'!F159</f>
        <v>0</v>
      </c>
      <c r="K159" s="134">
        <f>'Pemakaian Dalam Negeri REVISI'!G159</f>
        <v>0</v>
      </c>
      <c r="L159" s="134">
        <f>'Pemakaian Dalam Negeri REVISI'!H159</f>
        <v>0.12</v>
      </c>
      <c r="M159" s="134">
        <f>'Pemakaian Dalam Negeri REVISI'!I159</f>
        <v>0</v>
      </c>
      <c r="N159" s="134">
        <f>'Pemakaian Dalam Negeri REVISI'!J159</f>
        <v>11.88</v>
      </c>
      <c r="O159" s="126">
        <f t="shared" si="19"/>
        <v>4.7882952782088234E-2</v>
      </c>
      <c r="P159" s="126">
        <f t="shared" si="20"/>
        <v>0.13118617200572116</v>
      </c>
      <c r="Q159" s="122">
        <f t="shared" si="21"/>
        <v>0.10232521416446251</v>
      </c>
      <c r="R159" s="126">
        <f t="shared" si="22"/>
        <v>1.9021994940829567E-2</v>
      </c>
      <c r="S159" s="127">
        <f t="shared" si="23"/>
        <v>7.8711703203432695E-4</v>
      </c>
      <c r="T159" s="576">
        <v>100</v>
      </c>
      <c r="U159" s="575">
        <v>78</v>
      </c>
      <c r="V159" s="575">
        <v>14.5</v>
      </c>
      <c r="W159" s="574">
        <v>0.6</v>
      </c>
      <c r="X159" s="187"/>
      <c r="Y159" s="187"/>
      <c r="Z159" s="187"/>
      <c r="AA159" s="187"/>
      <c r="AB159" s="187"/>
      <c r="AC159" s="364"/>
      <c r="AE159" s="358"/>
      <c r="AF159" s="56">
        <v>78</v>
      </c>
      <c r="AG159" s="56">
        <v>14.5</v>
      </c>
      <c r="AH159" s="56">
        <v>0.6</v>
      </c>
    </row>
    <row r="160" spans="1:34" ht="14.1" customHeight="1" x14ac:dyDescent="0.2">
      <c r="A160" s="297">
        <v>129</v>
      </c>
      <c r="B160" s="282" t="s">
        <v>30</v>
      </c>
      <c r="C160" s="45"/>
      <c r="D160" s="133">
        <f>Produksi!F168</f>
        <v>0</v>
      </c>
      <c r="E160" s="333">
        <f>Stok!L165</f>
        <v>0</v>
      </c>
      <c r="F160" s="134">
        <f>'Impor_Pangan Masuk'!F167+'ESTIMASI  Ekspor Impor'!J160</f>
        <v>61.8886957985045</v>
      </c>
      <c r="G160" s="134">
        <f>'Ekspor_Pangan Keluar'!F167+'ESTIMASI  Ekspor Impor'!K160</f>
        <v>0</v>
      </c>
      <c r="H160" s="134">
        <f t="shared" si="18"/>
        <v>61.8886957985045</v>
      </c>
      <c r="I160" s="134">
        <f>'Pemakaian Dalam Negeri REVISI'!E160</f>
        <v>0</v>
      </c>
      <c r="J160" s="134">
        <f>'Pemakaian Dalam Negeri REVISI'!F160</f>
        <v>0</v>
      </c>
      <c r="K160" s="134">
        <f>'Pemakaian Dalam Negeri REVISI'!G160</f>
        <v>0</v>
      </c>
      <c r="L160" s="134">
        <f>'Pemakaian Dalam Negeri REVISI'!H160</f>
        <v>0.61888695798504501</v>
      </c>
      <c r="M160" s="134">
        <f>'Pemakaian Dalam Negeri REVISI'!I160</f>
        <v>0</v>
      </c>
      <c r="N160" s="134">
        <f>'Pemakaian Dalam Negeri REVISI'!J160</f>
        <v>61.269808840519453</v>
      </c>
      <c r="O160" s="126">
        <f t="shared" si="19"/>
        <v>0.24695112488873441</v>
      </c>
      <c r="P160" s="126">
        <f t="shared" si="20"/>
        <v>0.67657842435269699</v>
      </c>
      <c r="Q160" s="122">
        <f t="shared" si="21"/>
        <v>0.73070469830091278</v>
      </c>
      <c r="R160" s="126">
        <f t="shared" si="22"/>
        <v>0.15087698863065144</v>
      </c>
      <c r="S160" s="127">
        <f t="shared" si="23"/>
        <v>8.1189410922323634E-3</v>
      </c>
      <c r="T160" s="576">
        <v>100</v>
      </c>
      <c r="U160" s="575">
        <v>108</v>
      </c>
      <c r="V160" s="575">
        <v>22.3</v>
      </c>
      <c r="W160" s="574">
        <v>1.2</v>
      </c>
      <c r="X160" s="187"/>
      <c r="Y160" s="187"/>
      <c r="Z160" s="187"/>
      <c r="AA160" s="187"/>
      <c r="AB160" s="187"/>
      <c r="AC160" s="364"/>
      <c r="AE160" s="358"/>
      <c r="AF160" s="56">
        <v>108</v>
      </c>
      <c r="AG160" s="56">
        <v>22.3</v>
      </c>
      <c r="AH160" s="56">
        <v>1.2</v>
      </c>
    </row>
    <row r="161" spans="1:34" ht="14.1" customHeight="1" x14ac:dyDescent="0.2">
      <c r="A161" s="297">
        <v>130</v>
      </c>
      <c r="B161" s="282" t="s">
        <v>31</v>
      </c>
      <c r="C161" s="45"/>
      <c r="D161" s="133">
        <f>Produksi!F169</f>
        <v>0</v>
      </c>
      <c r="E161" s="333">
        <f>Stok!L166</f>
        <v>0</v>
      </c>
      <c r="F161" s="134">
        <f>'Impor_Pangan Masuk'!F168+'ESTIMASI  Ekspor Impor'!J161</f>
        <v>68</v>
      </c>
      <c r="G161" s="134">
        <f>'Ekspor_Pangan Keluar'!F168+'ESTIMASI  Ekspor Impor'!K161</f>
        <v>0</v>
      </c>
      <c r="H161" s="134">
        <f t="shared" si="18"/>
        <v>68</v>
      </c>
      <c r="I161" s="134">
        <f>'Pemakaian Dalam Negeri REVISI'!E161</f>
        <v>0</v>
      </c>
      <c r="J161" s="134">
        <f>'Pemakaian Dalam Negeri REVISI'!F161</f>
        <v>0</v>
      </c>
      <c r="K161" s="134">
        <f>'Pemakaian Dalam Negeri REVISI'!G161</f>
        <v>0</v>
      </c>
      <c r="L161" s="134">
        <f>'Pemakaian Dalam Negeri REVISI'!H161</f>
        <v>0.68</v>
      </c>
      <c r="M161" s="134">
        <f>'Pemakaian Dalam Negeri REVISI'!I161</f>
        <v>0</v>
      </c>
      <c r="N161" s="134">
        <f>'Pemakaian Dalam Negeri REVISI'!J161</f>
        <v>67.319999999999993</v>
      </c>
      <c r="O161" s="126">
        <f t="shared" si="19"/>
        <v>0.27133673243183326</v>
      </c>
      <c r="P161" s="126">
        <f t="shared" si="20"/>
        <v>0.74338830803241984</v>
      </c>
      <c r="Q161" s="122">
        <f t="shared" si="21"/>
        <v>0.74338830803241984</v>
      </c>
      <c r="R161" s="126">
        <f t="shared" si="22"/>
        <v>0.13975700191009494</v>
      </c>
      <c r="S161" s="127">
        <f t="shared" si="23"/>
        <v>1.6354542776713239E-2</v>
      </c>
      <c r="T161" s="576">
        <v>100</v>
      </c>
      <c r="U161" s="575">
        <v>100</v>
      </c>
      <c r="V161" s="575">
        <v>18.8</v>
      </c>
      <c r="W161" s="574">
        <v>2.2000000000000002</v>
      </c>
      <c r="X161" s="187"/>
      <c r="Y161" s="187"/>
      <c r="Z161" s="187"/>
      <c r="AA161" s="187"/>
      <c r="AB161" s="187"/>
      <c r="AC161" s="364"/>
      <c r="AE161" s="56">
        <v>48</v>
      </c>
      <c r="AF161" s="56">
        <v>100</v>
      </c>
      <c r="AG161" s="56">
        <v>18.8</v>
      </c>
      <c r="AH161" s="56">
        <v>2.2000000000000002</v>
      </c>
    </row>
    <row r="162" spans="1:34" ht="14.1" customHeight="1" x14ac:dyDescent="0.2">
      <c r="A162" s="297">
        <v>131</v>
      </c>
      <c r="B162" s="282" t="s">
        <v>32</v>
      </c>
      <c r="C162" s="45"/>
      <c r="D162" s="133">
        <f>Produksi!F170</f>
        <v>0</v>
      </c>
      <c r="E162" s="333">
        <f>Stok!L167</f>
        <v>0</v>
      </c>
      <c r="F162" s="134">
        <f>'Impor_Pangan Masuk'!F169+'ESTIMASI  Ekspor Impor'!J162</f>
        <v>86.943115777277299</v>
      </c>
      <c r="G162" s="134">
        <f>'Ekspor_Pangan Keluar'!F169+'ESTIMASI  Ekspor Impor'!K162</f>
        <v>0</v>
      </c>
      <c r="H162" s="134">
        <f t="shared" si="18"/>
        <v>86.943115777277299</v>
      </c>
      <c r="I162" s="134">
        <f>'Pemakaian Dalam Negeri REVISI'!E162</f>
        <v>0</v>
      </c>
      <c r="J162" s="134">
        <f>'Pemakaian Dalam Negeri REVISI'!F162</f>
        <v>0</v>
      </c>
      <c r="K162" s="134">
        <f>'Pemakaian Dalam Negeri REVISI'!G162</f>
        <v>0</v>
      </c>
      <c r="L162" s="134">
        <f>'Pemakaian Dalam Negeri REVISI'!H162</f>
        <v>0.86943115777277302</v>
      </c>
      <c r="M162" s="134">
        <f>'Pemakaian Dalam Negeri REVISI'!I162</f>
        <v>0</v>
      </c>
      <c r="N162" s="134">
        <f>'Pemakaian Dalam Negeri REVISI'!J162</f>
        <v>86.073684619504533</v>
      </c>
      <c r="O162" s="126">
        <f t="shared" si="19"/>
        <v>0.34692442562424997</v>
      </c>
      <c r="P162" s="126">
        <f t="shared" si="20"/>
        <v>0.95047787842260267</v>
      </c>
      <c r="Q162" s="122">
        <f t="shared" si="21"/>
        <v>0.76038230273808205</v>
      </c>
      <c r="R162" s="126">
        <f t="shared" si="22"/>
        <v>0.15397741630446163</v>
      </c>
      <c r="S162" s="127">
        <f t="shared" si="23"/>
        <v>4.7523893921130132E-3</v>
      </c>
      <c r="T162" s="576">
        <v>100</v>
      </c>
      <c r="U162" s="575">
        <v>80</v>
      </c>
      <c r="V162" s="575">
        <v>16.2</v>
      </c>
      <c r="W162" s="574">
        <v>0.5</v>
      </c>
      <c r="X162" s="187"/>
      <c r="Y162" s="187"/>
      <c r="Z162" s="187"/>
      <c r="AA162" s="187"/>
      <c r="AB162" s="187"/>
      <c r="AC162" s="364"/>
      <c r="AE162" s="358"/>
      <c r="AF162" s="56">
        <v>80</v>
      </c>
      <c r="AG162" s="56">
        <v>16.2</v>
      </c>
      <c r="AH162" s="56">
        <v>0.5</v>
      </c>
    </row>
    <row r="163" spans="1:34" ht="14.1" customHeight="1" x14ac:dyDescent="0.2">
      <c r="A163" s="297">
        <v>132</v>
      </c>
      <c r="B163" s="282" t="s">
        <v>33</v>
      </c>
      <c r="C163" s="45"/>
      <c r="D163" s="133">
        <f>Produksi!F171</f>
        <v>103.33</v>
      </c>
      <c r="E163" s="333">
        <f>Stok!L168</f>
        <v>0</v>
      </c>
      <c r="F163" s="134">
        <f>'Impor_Pangan Masuk'!F170+'ESTIMASI  Ekspor Impor'!J163</f>
        <v>0</v>
      </c>
      <c r="G163" s="134">
        <f>'Ekspor_Pangan Keluar'!F170+'ESTIMASI  Ekspor Impor'!K163</f>
        <v>0</v>
      </c>
      <c r="H163" s="134">
        <f t="shared" si="18"/>
        <v>103.33</v>
      </c>
      <c r="I163" s="134">
        <f>'Pemakaian Dalam Negeri REVISI'!E163</f>
        <v>0</v>
      </c>
      <c r="J163" s="134">
        <f>'Pemakaian Dalam Negeri REVISI'!F163</f>
        <v>0</v>
      </c>
      <c r="K163" s="134">
        <f>'Pemakaian Dalam Negeri REVISI'!G163</f>
        <v>0</v>
      </c>
      <c r="L163" s="134">
        <f>'Pemakaian Dalam Negeri REVISI'!H163</f>
        <v>1.0333000000000001</v>
      </c>
      <c r="M163" s="134">
        <f>'Pemakaian Dalam Negeri REVISI'!I163</f>
        <v>0</v>
      </c>
      <c r="N163" s="134">
        <f>'Pemakaian Dalam Negeri REVISI'!J163</f>
        <v>102.2967</v>
      </c>
      <c r="O163" s="126">
        <f t="shared" si="19"/>
        <v>0.41231212591443139</v>
      </c>
      <c r="P163" s="126">
        <f t="shared" si="20"/>
        <v>1.129622262779264</v>
      </c>
      <c r="Q163" s="122">
        <f t="shared" si="21"/>
        <v>1.005363813873545</v>
      </c>
      <c r="R163" s="126">
        <f t="shared" si="22"/>
        <v>0.21123936313972239</v>
      </c>
      <c r="S163" s="127">
        <f t="shared" si="23"/>
        <v>1.1296222627792641E-2</v>
      </c>
      <c r="T163" s="576">
        <v>100</v>
      </c>
      <c r="U163" s="575">
        <v>89</v>
      </c>
      <c r="V163" s="575">
        <v>18.7</v>
      </c>
      <c r="W163" s="574">
        <v>1</v>
      </c>
      <c r="X163" s="187"/>
      <c r="Y163" s="187"/>
      <c r="Z163" s="187"/>
      <c r="AA163" s="187"/>
      <c r="AB163" s="187"/>
      <c r="AC163" s="364"/>
      <c r="AE163" s="358"/>
      <c r="AF163" s="358"/>
      <c r="AG163" s="358"/>
      <c r="AH163" s="358"/>
    </row>
    <row r="164" spans="1:34" ht="14.1" customHeight="1" x14ac:dyDescent="0.2">
      <c r="A164" s="297">
        <v>133</v>
      </c>
      <c r="B164" s="282" t="s">
        <v>34</v>
      </c>
      <c r="C164" s="45"/>
      <c r="D164" s="133">
        <f>Produksi!F172</f>
        <v>0</v>
      </c>
      <c r="E164" s="333">
        <f>Stok!L169</f>
        <v>0</v>
      </c>
      <c r="F164" s="134">
        <f>'Impor_Pangan Masuk'!F171+'ESTIMASI  Ekspor Impor'!J164</f>
        <v>0</v>
      </c>
      <c r="G164" s="134">
        <f>'Ekspor_Pangan Keluar'!F171+'ESTIMASI  Ekspor Impor'!K164</f>
        <v>0</v>
      </c>
      <c r="H164" s="134">
        <f t="shared" si="18"/>
        <v>0</v>
      </c>
      <c r="I164" s="134">
        <f>'Pemakaian Dalam Negeri REVISI'!E164</f>
        <v>0</v>
      </c>
      <c r="J164" s="134">
        <f>'Pemakaian Dalam Negeri REVISI'!F164</f>
        <v>0</v>
      </c>
      <c r="K164" s="134">
        <f>'Pemakaian Dalam Negeri REVISI'!G164</f>
        <v>0</v>
      </c>
      <c r="L164" s="134">
        <f>'Pemakaian Dalam Negeri REVISI'!H164</f>
        <v>0</v>
      </c>
      <c r="M164" s="134">
        <f>'Pemakaian Dalam Negeri REVISI'!I164</f>
        <v>0</v>
      </c>
      <c r="N164" s="134">
        <f>'Pemakaian Dalam Negeri REVISI'!J164</f>
        <v>0</v>
      </c>
      <c r="O164" s="126">
        <f t="shared" si="19"/>
        <v>0</v>
      </c>
      <c r="P164" s="126">
        <f t="shared" si="20"/>
        <v>0</v>
      </c>
      <c r="Q164" s="122">
        <f t="shared" si="21"/>
        <v>0</v>
      </c>
      <c r="R164" s="126">
        <f t="shared" si="22"/>
        <v>0</v>
      </c>
      <c r="S164" s="127">
        <f t="shared" si="23"/>
        <v>0</v>
      </c>
      <c r="T164" s="385">
        <v>89</v>
      </c>
      <c r="U164" s="351">
        <v>97</v>
      </c>
      <c r="V164" s="351">
        <v>17.899999999999999</v>
      </c>
      <c r="W164" s="386">
        <v>2</v>
      </c>
      <c r="X164" s="163"/>
      <c r="Y164" s="163"/>
      <c r="Z164" s="163"/>
      <c r="AA164" s="163"/>
      <c r="AB164" s="163"/>
      <c r="AC164" s="367"/>
      <c r="AE164" s="358"/>
      <c r="AF164" s="358"/>
      <c r="AG164" s="358"/>
      <c r="AH164" s="358"/>
    </row>
    <row r="165" spans="1:34" ht="14.1" customHeight="1" x14ac:dyDescent="0.2">
      <c r="A165" s="297">
        <v>134</v>
      </c>
      <c r="B165" s="282" t="s">
        <v>35</v>
      </c>
      <c r="C165" s="45"/>
      <c r="D165" s="133">
        <f>Produksi!F173</f>
        <v>0</v>
      </c>
      <c r="E165" s="333">
        <f>Stok!L170</f>
        <v>0</v>
      </c>
      <c r="F165" s="134">
        <f>'Impor_Pangan Masuk'!F172+'ESTIMASI  Ekspor Impor'!J165</f>
        <v>0</v>
      </c>
      <c r="G165" s="134">
        <f>'Ekspor_Pangan Keluar'!F172+'ESTIMASI  Ekspor Impor'!K165</f>
        <v>0</v>
      </c>
      <c r="H165" s="134">
        <f t="shared" si="18"/>
        <v>0</v>
      </c>
      <c r="I165" s="134">
        <f>'Pemakaian Dalam Negeri REVISI'!E165</f>
        <v>0</v>
      </c>
      <c r="J165" s="134">
        <f>'Pemakaian Dalam Negeri REVISI'!F165</f>
        <v>0</v>
      </c>
      <c r="K165" s="134">
        <f>'Pemakaian Dalam Negeri REVISI'!G165</f>
        <v>0</v>
      </c>
      <c r="L165" s="134">
        <f>'Pemakaian Dalam Negeri REVISI'!H165</f>
        <v>0</v>
      </c>
      <c r="M165" s="134">
        <f>'Pemakaian Dalam Negeri REVISI'!I165</f>
        <v>0</v>
      </c>
      <c r="N165" s="134">
        <f>'Pemakaian Dalam Negeri REVISI'!J165</f>
        <v>0</v>
      </c>
      <c r="O165" s="126">
        <f t="shared" si="19"/>
        <v>0</v>
      </c>
      <c r="P165" s="126">
        <f t="shared" si="20"/>
        <v>0</v>
      </c>
      <c r="Q165" s="122">
        <f t="shared" si="21"/>
        <v>0</v>
      </c>
      <c r="R165" s="126">
        <f t="shared" si="22"/>
        <v>0</v>
      </c>
      <c r="S165" s="127">
        <f t="shared" si="23"/>
        <v>0</v>
      </c>
      <c r="T165" s="385">
        <v>49</v>
      </c>
      <c r="U165" s="351">
        <v>82</v>
      </c>
      <c r="V165" s="351">
        <v>18</v>
      </c>
      <c r="W165" s="386">
        <v>1</v>
      </c>
      <c r="X165" s="163"/>
      <c r="Y165" s="163"/>
      <c r="Z165" s="163"/>
      <c r="AA165" s="163"/>
      <c r="AB165" s="163"/>
      <c r="AC165" s="367"/>
      <c r="AE165" s="56">
        <v>49</v>
      </c>
      <c r="AF165" s="56">
        <v>82</v>
      </c>
      <c r="AG165" s="56">
        <v>18</v>
      </c>
      <c r="AH165" s="56">
        <v>1</v>
      </c>
    </row>
    <row r="166" spans="1:34" ht="14.1" customHeight="1" x14ac:dyDescent="0.2">
      <c r="A166" s="297">
        <v>135</v>
      </c>
      <c r="B166" s="282" t="s">
        <v>36</v>
      </c>
      <c r="C166" s="45"/>
      <c r="D166" s="133">
        <f>Produksi!F174</f>
        <v>0</v>
      </c>
      <c r="E166" s="333">
        <f>Stok!L171</f>
        <v>0</v>
      </c>
      <c r="F166" s="134">
        <f>'Impor_Pangan Masuk'!F173+'ESTIMASI  Ekspor Impor'!J166</f>
        <v>0</v>
      </c>
      <c r="G166" s="134">
        <f>'Ekspor_Pangan Keluar'!F173+'ESTIMASI  Ekspor Impor'!K166</f>
        <v>0</v>
      </c>
      <c r="H166" s="134">
        <f t="shared" si="18"/>
        <v>0</v>
      </c>
      <c r="I166" s="134">
        <f>'Pemakaian Dalam Negeri REVISI'!E166</f>
        <v>0</v>
      </c>
      <c r="J166" s="134">
        <f>'Pemakaian Dalam Negeri REVISI'!F166</f>
        <v>0</v>
      </c>
      <c r="K166" s="134">
        <f>'Pemakaian Dalam Negeri REVISI'!G166</f>
        <v>0</v>
      </c>
      <c r="L166" s="134">
        <f>'Pemakaian Dalam Negeri REVISI'!H166</f>
        <v>0</v>
      </c>
      <c r="M166" s="134">
        <f>'Pemakaian Dalam Negeri REVISI'!I166</f>
        <v>0</v>
      </c>
      <c r="N166" s="134">
        <f>'Pemakaian Dalam Negeri REVISI'!J166</f>
        <v>0</v>
      </c>
      <c r="O166" s="126">
        <f t="shared" si="19"/>
        <v>0</v>
      </c>
      <c r="P166" s="126">
        <f t="shared" si="20"/>
        <v>0</v>
      </c>
      <c r="Q166" s="122">
        <f t="shared" si="21"/>
        <v>0</v>
      </c>
      <c r="R166" s="126">
        <f t="shared" si="22"/>
        <v>0</v>
      </c>
      <c r="S166" s="127">
        <f t="shared" si="23"/>
        <v>0</v>
      </c>
      <c r="T166" s="385">
        <v>60</v>
      </c>
      <c r="U166" s="351">
        <v>84</v>
      </c>
      <c r="V166" s="351">
        <v>19.100000000000001</v>
      </c>
      <c r="W166" s="386">
        <v>0.3</v>
      </c>
      <c r="X166" s="163"/>
      <c r="Y166" s="163"/>
      <c r="Z166" s="163"/>
      <c r="AA166" s="163"/>
      <c r="AB166" s="163"/>
      <c r="AC166" s="367"/>
      <c r="AE166" s="358"/>
      <c r="AF166" s="358"/>
      <c r="AG166" s="358"/>
      <c r="AH166" s="358"/>
    </row>
    <row r="167" spans="1:34" ht="14.1" customHeight="1" x14ac:dyDescent="0.2">
      <c r="A167" s="297">
        <v>136</v>
      </c>
      <c r="B167" s="282" t="s">
        <v>37</v>
      </c>
      <c r="C167" s="45"/>
      <c r="D167" s="133">
        <f>Produksi!F175</f>
        <v>0</v>
      </c>
      <c r="E167" s="333">
        <f>Stok!L172</f>
        <v>0</v>
      </c>
      <c r="F167" s="134">
        <f>'Impor_Pangan Masuk'!F174+'ESTIMASI  Ekspor Impor'!J167</f>
        <v>0</v>
      </c>
      <c r="G167" s="134">
        <f>'Ekspor_Pangan Keluar'!F174+'ESTIMASI  Ekspor Impor'!K167</f>
        <v>0</v>
      </c>
      <c r="H167" s="134">
        <f t="shared" si="18"/>
        <v>0</v>
      </c>
      <c r="I167" s="134">
        <f>'Pemakaian Dalam Negeri REVISI'!E167</f>
        <v>0</v>
      </c>
      <c r="J167" s="134">
        <f>'Pemakaian Dalam Negeri REVISI'!F167</f>
        <v>0</v>
      </c>
      <c r="K167" s="134">
        <f>'Pemakaian Dalam Negeri REVISI'!G167</f>
        <v>0</v>
      </c>
      <c r="L167" s="134">
        <f>'Pemakaian Dalam Negeri REVISI'!H167</f>
        <v>0</v>
      </c>
      <c r="M167" s="134">
        <f>'Pemakaian Dalam Negeri REVISI'!I167</f>
        <v>0</v>
      </c>
      <c r="N167" s="134">
        <f>'Pemakaian Dalam Negeri REVISI'!J167</f>
        <v>0</v>
      </c>
      <c r="O167" s="126">
        <f t="shared" si="19"/>
        <v>0</v>
      </c>
      <c r="P167" s="126">
        <f t="shared" si="20"/>
        <v>0</v>
      </c>
      <c r="Q167" s="122">
        <f t="shared" si="21"/>
        <v>0</v>
      </c>
      <c r="R167" s="126">
        <f t="shared" si="22"/>
        <v>0</v>
      </c>
      <c r="S167" s="127">
        <f t="shared" si="23"/>
        <v>0</v>
      </c>
      <c r="T167" s="385">
        <v>81.5</v>
      </c>
      <c r="U167" s="351">
        <v>70</v>
      </c>
      <c r="V167" s="351">
        <v>14.6</v>
      </c>
      <c r="W167" s="386">
        <v>0.8</v>
      </c>
      <c r="X167" s="163"/>
      <c r="Y167" s="163"/>
      <c r="Z167" s="163"/>
      <c r="AA167" s="163"/>
      <c r="AB167" s="163"/>
      <c r="AC167" s="367"/>
      <c r="AE167" s="358"/>
      <c r="AF167" s="56">
        <v>70</v>
      </c>
      <c r="AG167" s="56">
        <v>14.6</v>
      </c>
      <c r="AH167" s="56">
        <v>0.8</v>
      </c>
    </row>
    <row r="168" spans="1:34" ht="14.1" customHeight="1" x14ac:dyDescent="0.2">
      <c r="A168" s="297">
        <v>137</v>
      </c>
      <c r="B168" s="282" t="s">
        <v>38</v>
      </c>
      <c r="C168" s="45"/>
      <c r="D168" s="133">
        <f>Produksi!F176</f>
        <v>0</v>
      </c>
      <c r="E168" s="333">
        <f>Stok!L173</f>
        <v>0</v>
      </c>
      <c r="F168" s="134">
        <f>'Impor_Pangan Masuk'!F175+'ESTIMASI  Ekspor Impor'!J168</f>
        <v>0</v>
      </c>
      <c r="G168" s="134">
        <f>'Ekspor_Pangan Keluar'!F175+'ESTIMASI  Ekspor Impor'!K168</f>
        <v>0</v>
      </c>
      <c r="H168" s="134">
        <f t="shared" si="18"/>
        <v>0</v>
      </c>
      <c r="I168" s="134">
        <f>'Pemakaian Dalam Negeri REVISI'!E168</f>
        <v>0</v>
      </c>
      <c r="J168" s="134">
        <f>'Pemakaian Dalam Negeri REVISI'!F168</f>
        <v>0</v>
      </c>
      <c r="K168" s="134">
        <f>'Pemakaian Dalam Negeri REVISI'!G168</f>
        <v>0</v>
      </c>
      <c r="L168" s="134">
        <f>'Pemakaian Dalam Negeri REVISI'!H168</f>
        <v>0</v>
      </c>
      <c r="M168" s="134">
        <f>'Pemakaian Dalam Negeri REVISI'!I168</f>
        <v>0</v>
      </c>
      <c r="N168" s="134">
        <f>'Pemakaian Dalam Negeri REVISI'!J168</f>
        <v>0</v>
      </c>
      <c r="O168" s="126">
        <f t="shared" si="19"/>
        <v>0</v>
      </c>
      <c r="P168" s="126">
        <f t="shared" si="20"/>
        <v>0</v>
      </c>
      <c r="Q168" s="122">
        <f t="shared" si="21"/>
        <v>0</v>
      </c>
      <c r="R168" s="126">
        <f t="shared" si="22"/>
        <v>0</v>
      </c>
      <c r="S168" s="127">
        <f t="shared" si="23"/>
        <v>0</v>
      </c>
      <c r="T168" s="385">
        <v>75</v>
      </c>
      <c r="U168" s="351">
        <v>84</v>
      </c>
      <c r="V168" s="351">
        <v>15.2</v>
      </c>
      <c r="W168" s="386">
        <v>0.6</v>
      </c>
      <c r="X168" s="163"/>
      <c r="Y168" s="163"/>
      <c r="Z168" s="163"/>
      <c r="AA168" s="163"/>
      <c r="AB168" s="163"/>
      <c r="AC168" s="367"/>
      <c r="AE168" s="56">
        <v>75</v>
      </c>
      <c r="AF168" s="56">
        <v>84</v>
      </c>
      <c r="AG168" s="56">
        <v>15.2</v>
      </c>
      <c r="AH168" s="56">
        <v>0.6</v>
      </c>
    </row>
    <row r="169" spans="1:34" ht="14.1" customHeight="1" x14ac:dyDescent="0.2">
      <c r="A169" s="297">
        <v>138</v>
      </c>
      <c r="B169" s="282" t="s">
        <v>157</v>
      </c>
      <c r="C169" s="45"/>
      <c r="D169" s="133">
        <f>Produksi!F177</f>
        <v>1800.55</v>
      </c>
      <c r="E169" s="333">
        <f>Stok!L174</f>
        <v>0</v>
      </c>
      <c r="F169" s="134">
        <f>'Impor_Pangan Masuk'!F176+'ESTIMASI  Ekspor Impor'!J169</f>
        <v>317.52416505506199</v>
      </c>
      <c r="G169" s="134">
        <f>'Ekspor_Pangan Keluar'!F176+'ESTIMASI  Ekspor Impor'!K169</f>
        <v>0</v>
      </c>
      <c r="H169" s="134">
        <f t="shared" si="18"/>
        <v>2118.0741650550617</v>
      </c>
      <c r="I169" s="134">
        <f>'Pemakaian Dalam Negeri REVISI'!E169</f>
        <v>0</v>
      </c>
      <c r="J169" s="134">
        <f>'Pemakaian Dalam Negeri REVISI'!F169</f>
        <v>0</v>
      </c>
      <c r="K169" s="134">
        <f>'Pemakaian Dalam Negeri REVISI'!G169</f>
        <v>0</v>
      </c>
      <c r="L169" s="134">
        <f>'Pemakaian Dalam Negeri REVISI'!H169</f>
        <v>10.590370825275309</v>
      </c>
      <c r="M169" s="134">
        <f>'Pemakaian Dalam Negeri REVISI'!I169</f>
        <v>0</v>
      </c>
      <c r="N169" s="134">
        <f>'Pemakaian Dalam Negeri REVISI'!J169</f>
        <v>2107.4837942297863</v>
      </c>
      <c r="O169" s="126">
        <f t="shared" si="19"/>
        <v>8.4943221387307233</v>
      </c>
      <c r="P169" s="126">
        <f t="shared" si="20"/>
        <v>23.272115448577324</v>
      </c>
      <c r="Q169" s="122">
        <f t="shared" si="21"/>
        <v>9.6381466130282991</v>
      </c>
      <c r="R169" s="126">
        <f t="shared" si="22"/>
        <v>1.895513803286623</v>
      </c>
      <c r="S169" s="127">
        <f t="shared" si="23"/>
        <v>0.14486891866739385</v>
      </c>
      <c r="T169" s="576">
        <v>75</v>
      </c>
      <c r="U169" s="575">
        <v>55.22</v>
      </c>
      <c r="V169" s="575">
        <v>10.86</v>
      </c>
      <c r="W169" s="574">
        <v>0.83</v>
      </c>
      <c r="X169" s="187"/>
      <c r="Y169" s="187"/>
      <c r="Z169" s="187"/>
      <c r="AA169" s="187"/>
      <c r="AB169" s="187"/>
      <c r="AC169" s="364"/>
      <c r="AE169" s="56"/>
      <c r="AF169" s="56"/>
      <c r="AG169" s="56"/>
      <c r="AH169" s="56"/>
    </row>
    <row r="170" spans="1:34" ht="14.1" customHeight="1" x14ac:dyDescent="0.2">
      <c r="A170" s="297"/>
      <c r="B170" s="298"/>
      <c r="C170" s="282"/>
      <c r="D170" s="133"/>
      <c r="E170" s="333"/>
      <c r="F170" s="134">
        <f>'Impor_Pangan Masuk'!F177+'ESTIMASI  Ekspor Impor'!J170</f>
        <v>0</v>
      </c>
      <c r="G170" s="134">
        <f>'Ekspor_Pangan Keluar'!F177+'ESTIMASI  Ekspor Impor'!K170</f>
        <v>0</v>
      </c>
      <c r="H170" s="134"/>
      <c r="I170" s="134"/>
      <c r="J170" s="134"/>
      <c r="K170" s="134"/>
      <c r="L170" s="134"/>
      <c r="M170" s="134"/>
      <c r="N170" s="134"/>
      <c r="O170" s="126"/>
      <c r="P170" s="126"/>
      <c r="Q170" s="122"/>
      <c r="R170" s="126"/>
      <c r="S170" s="127"/>
      <c r="T170" s="576"/>
      <c r="U170" s="575"/>
      <c r="V170" s="575"/>
      <c r="W170" s="574"/>
      <c r="X170" s="187"/>
      <c r="Y170" s="187"/>
      <c r="Z170" s="368"/>
      <c r="AA170" s="369"/>
      <c r="AB170" s="368"/>
      <c r="AC170" s="364"/>
      <c r="AE170" s="56"/>
      <c r="AF170" s="56"/>
      <c r="AG170" s="56"/>
      <c r="AH170" s="56"/>
    </row>
    <row r="171" spans="1:34" ht="14.1" customHeight="1" x14ac:dyDescent="0.2">
      <c r="A171" s="336" t="s">
        <v>39</v>
      </c>
      <c r="B171" s="282"/>
      <c r="C171" s="282"/>
      <c r="D171" s="133"/>
      <c r="E171" s="333"/>
      <c r="F171" s="134">
        <f>'Impor_Pangan Masuk'!F178+'ESTIMASI  Ekspor Impor'!J171</f>
        <v>0</v>
      </c>
      <c r="G171" s="134">
        <f>'Ekspor_Pangan Keluar'!F178+'ESTIMASI  Ekspor Impor'!K171</f>
        <v>0</v>
      </c>
      <c r="H171" s="134"/>
      <c r="I171" s="134"/>
      <c r="J171" s="134"/>
      <c r="K171" s="134"/>
      <c r="L171" s="134"/>
      <c r="M171" s="134"/>
      <c r="N171" s="134"/>
      <c r="O171" s="126"/>
      <c r="P171" s="126"/>
      <c r="Q171" s="122"/>
      <c r="R171" s="126"/>
      <c r="S171" s="127"/>
      <c r="T171" s="576"/>
      <c r="U171" s="575"/>
      <c r="V171" s="575"/>
      <c r="W171" s="574"/>
      <c r="X171" s="187"/>
      <c r="Y171" s="187"/>
      <c r="Z171" s="368"/>
      <c r="AA171" s="369"/>
      <c r="AB171" s="368"/>
      <c r="AC171" s="364"/>
      <c r="AE171" s="56"/>
      <c r="AF171" s="56"/>
      <c r="AG171" s="56"/>
      <c r="AH171" s="56"/>
    </row>
    <row r="172" spans="1:34" ht="14.1" customHeight="1" thickBot="1" x14ac:dyDescent="0.25">
      <c r="A172" s="336"/>
      <c r="B172" s="282"/>
      <c r="C172" s="299" t="s">
        <v>40</v>
      </c>
      <c r="D172" s="133"/>
      <c r="E172" s="333"/>
      <c r="F172" s="134">
        <f>'Impor_Pangan Masuk'!F179+'ESTIMASI  Ekspor Impor'!J172</f>
        <v>0</v>
      </c>
      <c r="G172" s="134">
        <f>'Ekspor_Pangan Keluar'!F179+'ESTIMASI  Ekspor Impor'!K172</f>
        <v>0</v>
      </c>
      <c r="H172" s="134"/>
      <c r="I172" s="134"/>
      <c r="J172" s="134"/>
      <c r="K172" s="134"/>
      <c r="L172" s="134"/>
      <c r="M172" s="134"/>
      <c r="N172" s="134"/>
      <c r="O172" s="126"/>
      <c r="P172" s="126"/>
      <c r="Q172" s="567">
        <f>SUM(Q173:Q185)</f>
        <v>591.47887988407422</v>
      </c>
      <c r="R172" s="340">
        <f>SUM(R173:R185)</f>
        <v>3.0888721399752184E-2</v>
      </c>
      <c r="S172" s="340">
        <f>SUM(S173:S185)</f>
        <v>31.476928292138716</v>
      </c>
      <c r="T172" s="576"/>
      <c r="U172" s="575"/>
      <c r="V172" s="575"/>
      <c r="W172" s="574"/>
      <c r="X172" s="187"/>
      <c r="Y172" s="187"/>
      <c r="Z172" s="368"/>
      <c r="AA172" s="369"/>
      <c r="AB172" s="368"/>
      <c r="AC172" s="370"/>
      <c r="AE172" s="360"/>
      <c r="AF172" s="360"/>
      <c r="AG172" s="360"/>
      <c r="AH172" s="360"/>
    </row>
    <row r="173" spans="1:34" ht="14.1" customHeight="1" x14ac:dyDescent="0.2">
      <c r="A173" s="297">
        <v>139</v>
      </c>
      <c r="B173" s="282" t="s">
        <v>158</v>
      </c>
      <c r="C173" s="45"/>
      <c r="D173" s="133">
        <f>Produksi!F181</f>
        <v>0</v>
      </c>
      <c r="E173" s="333">
        <f>Stok!L178</f>
        <v>0</v>
      </c>
      <c r="F173" s="134">
        <f>'Impor_Pangan Masuk'!F180+'ESTIMASI  Ekspor Impor'!J173</f>
        <v>0</v>
      </c>
      <c r="G173" s="134">
        <f>'Ekspor_Pangan Keluar'!F180+'ESTIMASI  Ekspor Impor'!K173</f>
        <v>0</v>
      </c>
      <c r="H173" s="134">
        <f t="shared" ref="H173:H179" si="24">D173-E173+F173-G173</f>
        <v>0</v>
      </c>
      <c r="I173" s="134">
        <f>'Pemakaian Dalam Negeri REVISI'!E173</f>
        <v>0</v>
      </c>
      <c r="J173" s="134">
        <f>'Pemakaian Dalam Negeri REVISI'!F173</f>
        <v>0</v>
      </c>
      <c r="K173" s="134">
        <f>'Pemakaian Dalam Negeri REVISI'!G173</f>
        <v>0</v>
      </c>
      <c r="L173" s="134">
        <f>'Pemakaian Dalam Negeri REVISI'!H173</f>
        <v>0</v>
      </c>
      <c r="M173" s="134">
        <f>'Pemakaian Dalam Negeri REVISI'!I173</f>
        <v>0</v>
      </c>
      <c r="N173" s="134">
        <f>'Pemakaian Dalam Negeri REVISI'!J173</f>
        <v>0</v>
      </c>
      <c r="O173" s="126">
        <f t="shared" ref="O173:O179" si="25">(N173+K173)/$Q$4*1000</f>
        <v>0</v>
      </c>
      <c r="P173" s="126">
        <f t="shared" ref="P173:P179" si="26">O173/365*1000</f>
        <v>0</v>
      </c>
      <c r="Q173" s="568">
        <f t="shared" ref="Q173:Q179" si="27">P173/100*T173/100*U173</f>
        <v>0</v>
      </c>
      <c r="R173" s="177">
        <f t="shared" ref="R173:R179" si="28">P173/100*T173/100*V173</f>
        <v>0</v>
      </c>
      <c r="S173" s="178">
        <f t="shared" ref="S173:S179" si="29">P173/100*T173/100*W173</f>
        <v>0</v>
      </c>
      <c r="T173" s="576">
        <v>100</v>
      </c>
      <c r="U173" s="575">
        <v>902</v>
      </c>
      <c r="V173" s="575">
        <v>0</v>
      </c>
      <c r="W173" s="574">
        <v>100</v>
      </c>
      <c r="X173" s="187">
        <v>0</v>
      </c>
      <c r="Y173" s="187">
        <v>0</v>
      </c>
      <c r="Z173" s="187">
        <v>0</v>
      </c>
      <c r="AA173" s="187">
        <v>0</v>
      </c>
      <c r="AB173" s="187">
        <v>0</v>
      </c>
      <c r="AC173" s="364">
        <v>0</v>
      </c>
      <c r="AE173" s="56">
        <v>100</v>
      </c>
      <c r="AF173" s="56">
        <v>902</v>
      </c>
      <c r="AG173" s="56">
        <v>0</v>
      </c>
      <c r="AH173" s="56">
        <v>100</v>
      </c>
    </row>
    <row r="174" spans="1:34" ht="14.1" customHeight="1" x14ac:dyDescent="0.2">
      <c r="A174" s="297">
        <v>140</v>
      </c>
      <c r="B174" s="282" t="s">
        <v>159</v>
      </c>
      <c r="C174" s="45"/>
      <c r="D174" s="133">
        <f>Produksi!F182</f>
        <v>0</v>
      </c>
      <c r="E174" s="333">
        <f>Stok!L179</f>
        <v>0</v>
      </c>
      <c r="F174" s="134">
        <f>'Impor_Pangan Masuk'!F181+'ESTIMASI  Ekspor Impor'!J174</f>
        <v>0</v>
      </c>
      <c r="G174" s="134">
        <f>'Ekspor_Pangan Keluar'!F181+'ESTIMASI  Ekspor Impor'!K174</f>
        <v>0</v>
      </c>
      <c r="H174" s="134">
        <f t="shared" si="24"/>
        <v>0</v>
      </c>
      <c r="I174" s="134">
        <f>'Pemakaian Dalam Negeri REVISI'!E174</f>
        <v>0</v>
      </c>
      <c r="J174" s="134">
        <f>'Pemakaian Dalam Negeri REVISI'!F174</f>
        <v>0</v>
      </c>
      <c r="K174" s="134">
        <f>'Pemakaian Dalam Negeri REVISI'!G174</f>
        <v>0</v>
      </c>
      <c r="L174" s="134">
        <f>'Pemakaian Dalam Negeri REVISI'!H174</f>
        <v>0</v>
      </c>
      <c r="M174" s="134">
        <f>'Pemakaian Dalam Negeri REVISI'!I174</f>
        <v>0</v>
      </c>
      <c r="N174" s="134">
        <f>'Pemakaian Dalam Negeri REVISI'!J174</f>
        <v>0</v>
      </c>
      <c r="O174" s="126">
        <f t="shared" si="25"/>
        <v>0</v>
      </c>
      <c r="P174" s="126">
        <f t="shared" si="26"/>
        <v>0</v>
      </c>
      <c r="Q174" s="122">
        <f t="shared" si="27"/>
        <v>0</v>
      </c>
      <c r="R174" s="126">
        <f t="shared" si="28"/>
        <v>0</v>
      </c>
      <c r="S174" s="127">
        <f t="shared" si="29"/>
        <v>0</v>
      </c>
      <c r="T174" s="576">
        <v>100</v>
      </c>
      <c r="U174" s="575">
        <v>870</v>
      </c>
      <c r="V174" s="575">
        <v>1</v>
      </c>
      <c r="W174" s="574">
        <v>98</v>
      </c>
      <c r="X174" s="187">
        <v>0</v>
      </c>
      <c r="Y174" s="187">
        <v>0</v>
      </c>
      <c r="Z174" s="187">
        <v>0</v>
      </c>
      <c r="AA174" s="187">
        <v>3</v>
      </c>
      <c r="AB174" s="187">
        <v>0</v>
      </c>
      <c r="AC174" s="364">
        <v>0</v>
      </c>
      <c r="AE174" s="56">
        <v>100</v>
      </c>
      <c r="AF174" s="56">
        <v>870</v>
      </c>
      <c r="AG174" s="56">
        <v>1</v>
      </c>
      <c r="AH174" s="56">
        <v>98</v>
      </c>
    </row>
    <row r="175" spans="1:34" ht="14.1" customHeight="1" x14ac:dyDescent="0.2">
      <c r="A175" s="297">
        <v>141</v>
      </c>
      <c r="B175" s="282" t="s">
        <v>160</v>
      </c>
      <c r="C175" s="45"/>
      <c r="D175" s="133">
        <f>Produksi!F183</f>
        <v>0</v>
      </c>
      <c r="E175" s="333">
        <f>Stok!L180</f>
        <v>0</v>
      </c>
      <c r="F175" s="134">
        <f>'Impor_Pangan Masuk'!F182+'ESTIMASI  Ekspor Impor'!J175</f>
        <v>5860</v>
      </c>
      <c r="G175" s="134">
        <f>'Ekspor_Pangan Keluar'!F182+'ESTIMASI  Ekspor Impor'!K175</f>
        <v>0</v>
      </c>
      <c r="H175" s="134">
        <f t="shared" si="24"/>
        <v>5860</v>
      </c>
      <c r="I175" s="134">
        <f>'Pemakaian Dalam Negeri REVISI'!E175</f>
        <v>0</v>
      </c>
      <c r="J175" s="134">
        <f>'Pemakaian Dalam Negeri REVISI'!F175</f>
        <v>0</v>
      </c>
      <c r="K175" s="134">
        <f>'Pemakaian Dalam Negeri REVISI'!G175</f>
        <v>0</v>
      </c>
      <c r="L175" s="134">
        <f>'Pemakaian Dalam Negeri REVISI'!H175</f>
        <v>90.83</v>
      </c>
      <c r="M175" s="134">
        <f>'Pemakaian Dalam Negeri REVISI'!I175</f>
        <v>0</v>
      </c>
      <c r="N175" s="134">
        <f>'Pemakaian Dalam Negeri REVISI'!J175</f>
        <v>5769.17</v>
      </c>
      <c r="O175" s="126">
        <f t="shared" si="25"/>
        <v>23.252937264464641</v>
      </c>
      <c r="P175" s="126">
        <f t="shared" si="26"/>
        <v>63.706677436889429</v>
      </c>
      <c r="Q175" s="122">
        <f t="shared" si="27"/>
        <v>574.63423048074264</v>
      </c>
      <c r="R175" s="126">
        <f t="shared" si="28"/>
        <v>0</v>
      </c>
      <c r="S175" s="127">
        <f t="shared" si="29"/>
        <v>29.623605008153582</v>
      </c>
      <c r="T175" s="576">
        <v>100</v>
      </c>
      <c r="U175" s="575">
        <v>902</v>
      </c>
      <c r="V175" s="575">
        <v>0</v>
      </c>
      <c r="W175" s="574">
        <v>46.5</v>
      </c>
      <c r="X175" s="187">
        <v>60000</v>
      </c>
      <c r="Y175" s="187">
        <v>0</v>
      </c>
      <c r="Z175" s="187">
        <v>0</v>
      </c>
      <c r="AA175" s="187">
        <v>0</v>
      </c>
      <c r="AB175" s="187">
        <v>0</v>
      </c>
      <c r="AC175" s="364">
        <v>0</v>
      </c>
      <c r="AE175" s="56">
        <v>100</v>
      </c>
      <c r="AF175" s="56">
        <v>884</v>
      </c>
      <c r="AG175" s="56">
        <v>0</v>
      </c>
      <c r="AH175" s="56">
        <v>100</v>
      </c>
    </row>
    <row r="176" spans="1:34" ht="14.1" customHeight="1" x14ac:dyDescent="0.2">
      <c r="A176" s="297">
        <v>142</v>
      </c>
      <c r="B176" s="282" t="s">
        <v>41</v>
      </c>
      <c r="C176" s="45"/>
      <c r="D176" s="133">
        <f>Produksi!F184</f>
        <v>0</v>
      </c>
      <c r="E176" s="333">
        <f>Stok!L181</f>
        <v>0</v>
      </c>
      <c r="F176" s="134">
        <f>'Impor_Pangan Masuk'!F183+'ESTIMASI  Ekspor Impor'!J176</f>
        <v>0</v>
      </c>
      <c r="G176" s="134">
        <f>'Ekspor_Pangan Keluar'!F183+'ESTIMASI  Ekspor Impor'!K176</f>
        <v>0</v>
      </c>
      <c r="H176" s="134">
        <f t="shared" si="24"/>
        <v>0</v>
      </c>
      <c r="I176" s="134">
        <f>'Pemakaian Dalam Negeri REVISI'!E176</f>
        <v>0</v>
      </c>
      <c r="J176" s="134">
        <f>'Pemakaian Dalam Negeri REVISI'!F176</f>
        <v>0</v>
      </c>
      <c r="K176" s="134">
        <f>'Pemakaian Dalam Negeri REVISI'!G176</f>
        <v>0</v>
      </c>
      <c r="L176" s="134">
        <f>'Pemakaian Dalam Negeri REVISI'!H176</f>
        <v>0</v>
      </c>
      <c r="M176" s="134">
        <f>'Pemakaian Dalam Negeri REVISI'!I176</f>
        <v>0</v>
      </c>
      <c r="N176" s="134">
        <f>'Pemakaian Dalam Negeri REVISI'!J176</f>
        <v>0</v>
      </c>
      <c r="O176" s="126">
        <f t="shared" si="25"/>
        <v>0</v>
      </c>
      <c r="P176" s="126">
        <f t="shared" si="26"/>
        <v>0</v>
      </c>
      <c r="Q176" s="122">
        <f t="shared" si="27"/>
        <v>0</v>
      </c>
      <c r="R176" s="126">
        <f t="shared" si="28"/>
        <v>0</v>
      </c>
      <c r="S176" s="127">
        <f t="shared" si="29"/>
        <v>0</v>
      </c>
      <c r="T176" s="576">
        <v>100</v>
      </c>
      <c r="U176" s="575">
        <v>883</v>
      </c>
      <c r="V176" s="575">
        <v>0</v>
      </c>
      <c r="W176" s="574">
        <v>99.9</v>
      </c>
      <c r="X176" s="187"/>
      <c r="Y176" s="187"/>
      <c r="Z176" s="187"/>
      <c r="AA176" s="187"/>
      <c r="AB176" s="187"/>
      <c r="AC176" s="364"/>
      <c r="AE176" s="358"/>
      <c r="AF176" s="358"/>
      <c r="AG176" s="358"/>
      <c r="AH176" s="358"/>
    </row>
    <row r="177" spans="1:34" x14ac:dyDescent="0.2">
      <c r="A177" s="297">
        <v>143</v>
      </c>
      <c r="B177" s="282" t="s">
        <v>42</v>
      </c>
      <c r="C177" s="45"/>
      <c r="D177" s="133">
        <f>Produksi!F185</f>
        <v>0</v>
      </c>
      <c r="E177" s="333">
        <f>Stok!L182</f>
        <v>0</v>
      </c>
      <c r="F177" s="134">
        <f>'Impor_Pangan Masuk'!F184+'ESTIMASI  Ekspor Impor'!J177</f>
        <v>0</v>
      </c>
      <c r="G177" s="134">
        <f>'Ekspor_Pangan Keluar'!F184+'ESTIMASI  Ekspor Impor'!K177</f>
        <v>0</v>
      </c>
      <c r="H177" s="134">
        <f t="shared" si="24"/>
        <v>0</v>
      </c>
      <c r="I177" s="134">
        <f>'Pemakaian Dalam Negeri REVISI'!E177</f>
        <v>0</v>
      </c>
      <c r="J177" s="134">
        <f>'Pemakaian Dalam Negeri REVISI'!F177</f>
        <v>0</v>
      </c>
      <c r="K177" s="134">
        <f>'Pemakaian Dalam Negeri REVISI'!G177</f>
        <v>0</v>
      </c>
      <c r="L177" s="134">
        <f>'Pemakaian Dalam Negeri REVISI'!H177</f>
        <v>0</v>
      </c>
      <c r="M177" s="134">
        <f>'Pemakaian Dalam Negeri REVISI'!I177</f>
        <v>0</v>
      </c>
      <c r="N177" s="134">
        <f>'Pemakaian Dalam Negeri REVISI'!J177</f>
        <v>0</v>
      </c>
      <c r="O177" s="126">
        <f t="shared" si="25"/>
        <v>0</v>
      </c>
      <c r="P177" s="126">
        <f t="shared" si="26"/>
        <v>0</v>
      </c>
      <c r="Q177" s="122">
        <f t="shared" si="27"/>
        <v>0</v>
      </c>
      <c r="R177" s="126">
        <f t="shared" si="28"/>
        <v>0</v>
      </c>
      <c r="S177" s="127">
        <f t="shared" si="29"/>
        <v>0</v>
      </c>
      <c r="T177" s="576">
        <v>100</v>
      </c>
      <c r="U177" s="575">
        <v>884</v>
      </c>
      <c r="V177" s="575">
        <v>0</v>
      </c>
      <c r="W177" s="574">
        <v>100</v>
      </c>
      <c r="X177" s="187"/>
      <c r="Y177" s="187"/>
      <c r="Z177" s="187"/>
      <c r="AA177" s="187"/>
      <c r="AB177" s="187"/>
      <c r="AC177" s="364"/>
      <c r="AE177" s="56">
        <v>100</v>
      </c>
      <c r="AF177" s="56">
        <v>884</v>
      </c>
      <c r="AG177" s="56">
        <v>0</v>
      </c>
      <c r="AH177" s="56">
        <v>100</v>
      </c>
    </row>
    <row r="178" spans="1:34" x14ac:dyDescent="0.2">
      <c r="A178" s="297">
        <v>144</v>
      </c>
      <c r="B178" s="282" t="s">
        <v>43</v>
      </c>
      <c r="C178" s="45"/>
      <c r="D178" s="133">
        <f>Produksi!F186</f>
        <v>0</v>
      </c>
      <c r="E178" s="333">
        <f>Stok!L183</f>
        <v>0</v>
      </c>
      <c r="F178" s="134">
        <f>'Impor_Pangan Masuk'!F185+'ESTIMASI  Ekspor Impor'!J178</f>
        <v>0</v>
      </c>
      <c r="G178" s="134">
        <f>'Ekspor_Pangan Keluar'!F185+'ESTIMASI  Ekspor Impor'!K178</f>
        <v>0</v>
      </c>
      <c r="H178" s="134">
        <f t="shared" si="24"/>
        <v>0</v>
      </c>
      <c r="I178" s="134">
        <f>'Pemakaian Dalam Negeri REVISI'!E178</f>
        <v>0</v>
      </c>
      <c r="J178" s="134">
        <f>'Pemakaian Dalam Negeri REVISI'!F178</f>
        <v>0</v>
      </c>
      <c r="K178" s="134">
        <f>'Pemakaian Dalam Negeri REVISI'!G178</f>
        <v>0</v>
      </c>
      <c r="L178" s="134">
        <f>'Pemakaian Dalam Negeri REVISI'!H178</f>
        <v>0</v>
      </c>
      <c r="M178" s="134">
        <f>'Pemakaian Dalam Negeri REVISI'!I178</f>
        <v>0</v>
      </c>
      <c r="N178" s="134">
        <f>'Pemakaian Dalam Negeri REVISI'!J178</f>
        <v>0</v>
      </c>
      <c r="O178" s="126">
        <f t="shared" si="25"/>
        <v>0</v>
      </c>
      <c r="P178" s="126">
        <f t="shared" si="26"/>
        <v>0</v>
      </c>
      <c r="Q178" s="122">
        <f t="shared" si="27"/>
        <v>0</v>
      </c>
      <c r="R178" s="126">
        <f t="shared" si="28"/>
        <v>0</v>
      </c>
      <c r="S178" s="127">
        <f t="shared" si="29"/>
        <v>0</v>
      </c>
      <c r="T178" s="576">
        <v>100</v>
      </c>
      <c r="U178" s="575">
        <v>881</v>
      </c>
      <c r="V178" s="575">
        <v>0.2</v>
      </c>
      <c r="W178" s="574">
        <v>99.7</v>
      </c>
      <c r="X178" s="187"/>
      <c r="Y178" s="187"/>
      <c r="Z178" s="187"/>
      <c r="AA178" s="187"/>
      <c r="AB178" s="187"/>
      <c r="AC178" s="364"/>
      <c r="AE178" s="56">
        <v>100</v>
      </c>
      <c r="AF178" s="56">
        <v>881</v>
      </c>
      <c r="AG178" s="56">
        <v>0.2</v>
      </c>
      <c r="AH178" s="56">
        <v>99.7</v>
      </c>
    </row>
    <row r="179" spans="1:34" x14ac:dyDescent="0.2">
      <c r="A179" s="297">
        <v>145</v>
      </c>
      <c r="B179" s="282" t="s">
        <v>44</v>
      </c>
      <c r="C179" s="45"/>
      <c r="D179" s="133">
        <f>Produksi!F187</f>
        <v>0</v>
      </c>
      <c r="E179" s="333">
        <f>Stok!L184</f>
        <v>0</v>
      </c>
      <c r="F179" s="134">
        <f>'Impor_Pangan Masuk'!F186+'ESTIMASI  Ekspor Impor'!J179</f>
        <v>0</v>
      </c>
      <c r="G179" s="134">
        <f>'Ekspor_Pangan Keluar'!F186+'ESTIMASI  Ekspor Impor'!K179</f>
        <v>0</v>
      </c>
      <c r="H179" s="134">
        <f t="shared" si="24"/>
        <v>0</v>
      </c>
      <c r="I179" s="134">
        <f>'Pemakaian Dalam Negeri REVISI'!E179</f>
        <v>0</v>
      </c>
      <c r="J179" s="134">
        <f>'Pemakaian Dalam Negeri REVISI'!F179</f>
        <v>0</v>
      </c>
      <c r="K179" s="134">
        <f>'Pemakaian Dalam Negeri REVISI'!G179</f>
        <v>0</v>
      </c>
      <c r="L179" s="134">
        <f>'Pemakaian Dalam Negeri REVISI'!H179</f>
        <v>0</v>
      </c>
      <c r="M179" s="134">
        <f>'Pemakaian Dalam Negeri REVISI'!I179</f>
        <v>0</v>
      </c>
      <c r="N179" s="134">
        <f>'Pemakaian Dalam Negeri REVISI'!J179</f>
        <v>0</v>
      </c>
      <c r="O179" s="126">
        <f t="shared" si="25"/>
        <v>0</v>
      </c>
      <c r="P179" s="126">
        <f t="shared" si="26"/>
        <v>0</v>
      </c>
      <c r="Q179" s="122">
        <f t="shared" si="27"/>
        <v>0</v>
      </c>
      <c r="R179" s="126">
        <f t="shared" si="28"/>
        <v>0</v>
      </c>
      <c r="S179" s="127">
        <f t="shared" si="29"/>
        <v>0</v>
      </c>
      <c r="T179" s="576">
        <v>100</v>
      </c>
      <c r="U179" s="575">
        <v>883</v>
      </c>
      <c r="V179" s="575">
        <v>0</v>
      </c>
      <c r="W179" s="574">
        <v>99.9</v>
      </c>
      <c r="X179" s="187"/>
      <c r="Y179" s="187"/>
      <c r="Z179" s="187"/>
      <c r="AA179" s="187"/>
      <c r="AB179" s="187"/>
      <c r="AC179" s="364"/>
      <c r="AE179" s="56">
        <v>100</v>
      </c>
      <c r="AF179" s="56">
        <v>883</v>
      </c>
      <c r="AG179" s="56">
        <v>0</v>
      </c>
      <c r="AH179" s="56">
        <v>99.9</v>
      </c>
    </row>
    <row r="180" spans="1:34" x14ac:dyDescent="0.2">
      <c r="A180" s="297"/>
      <c r="B180" s="282"/>
      <c r="C180" s="45"/>
      <c r="D180" s="133"/>
      <c r="E180" s="333"/>
      <c r="F180" s="134">
        <f>'Impor_Pangan Masuk'!F187+'ESTIMASI  Ekspor Impor'!J180</f>
        <v>0</v>
      </c>
      <c r="G180" s="134">
        <f>'Ekspor_Pangan Keluar'!F187+'ESTIMASI  Ekspor Impor'!K180</f>
        <v>0</v>
      </c>
      <c r="H180" s="134"/>
      <c r="I180" s="134"/>
      <c r="J180" s="134"/>
      <c r="K180" s="134"/>
      <c r="L180" s="134"/>
      <c r="M180" s="134"/>
      <c r="N180" s="134"/>
      <c r="O180" s="126"/>
      <c r="P180" s="126"/>
      <c r="Q180" s="122"/>
      <c r="R180" s="126"/>
      <c r="S180" s="127"/>
      <c r="T180" s="576"/>
      <c r="U180" s="575"/>
      <c r="V180" s="575"/>
      <c r="W180" s="574"/>
      <c r="X180" s="187"/>
      <c r="Y180" s="187"/>
      <c r="Z180" s="187"/>
      <c r="AA180" s="187"/>
      <c r="AB180" s="187"/>
      <c r="AC180" s="364"/>
      <c r="AE180" s="56"/>
      <c r="AF180" s="56"/>
      <c r="AG180" s="56"/>
      <c r="AH180" s="56"/>
    </row>
    <row r="181" spans="1:34" x14ac:dyDescent="0.2">
      <c r="A181" s="297">
        <v>146</v>
      </c>
      <c r="B181" s="282" t="s">
        <v>161</v>
      </c>
      <c r="C181" s="45"/>
      <c r="D181" s="133">
        <f>Produksi!F189</f>
        <v>117.91468295006402</v>
      </c>
      <c r="E181" s="333">
        <f>Stok!L186</f>
        <v>0</v>
      </c>
      <c r="F181" s="134">
        <f>'Impor_Pangan Masuk'!F188+'ESTIMASI  Ekspor Impor'!J181</f>
        <v>44.46</v>
      </c>
      <c r="G181" s="134">
        <f>'Ekspor_Pangan Keluar'!F188+'ESTIMASI  Ekspor Impor'!K181</f>
        <v>0</v>
      </c>
      <c r="H181" s="134">
        <f>D181-E181+F181-G181</f>
        <v>162.37468295006403</v>
      </c>
      <c r="I181" s="134">
        <f>'Pemakaian Dalam Negeri REVISI'!E181</f>
        <v>0</v>
      </c>
      <c r="J181" s="134">
        <f>'Pemakaian Dalam Negeri REVISI'!F181</f>
        <v>0</v>
      </c>
      <c r="K181" s="134">
        <f>'Pemakaian Dalam Negeri REVISI'!G181</f>
        <v>0</v>
      </c>
      <c r="L181" s="134">
        <f>'Pemakaian Dalam Negeri REVISI'!H181</f>
        <v>0</v>
      </c>
      <c r="M181" s="134">
        <f>'Pemakaian Dalam Negeri REVISI'!I181</f>
        <v>0</v>
      </c>
      <c r="N181" s="134">
        <f>'Pemakaian Dalam Negeri REVISI'!J181</f>
        <v>162.37468295006403</v>
      </c>
      <c r="O181" s="126">
        <f>(N181+K181)/$Q$4*1000</f>
        <v>0.65445953507613319</v>
      </c>
      <c r="P181" s="126">
        <f>O181/365*1000</f>
        <v>1.7930398221263923</v>
      </c>
      <c r="Q181" s="122">
        <f>P181/100*T181/100*U181</f>
        <v>14.66706574499389</v>
      </c>
      <c r="R181" s="126">
        <f>P181/100*T181/100*V181</f>
        <v>2.6895597331895886E-2</v>
      </c>
      <c r="S181" s="127">
        <f>P181/100*T181/100*W181</f>
        <v>1.6137358399137531</v>
      </c>
      <c r="T181" s="576">
        <v>100</v>
      </c>
      <c r="U181" s="575">
        <v>818</v>
      </c>
      <c r="V181" s="575">
        <v>1.5</v>
      </c>
      <c r="W181" s="574">
        <v>90</v>
      </c>
      <c r="X181" s="187">
        <v>0</v>
      </c>
      <c r="Y181" s="187">
        <v>0</v>
      </c>
      <c r="Z181" s="187">
        <v>0</v>
      </c>
      <c r="AA181" s="187">
        <v>0</v>
      </c>
      <c r="AB181" s="187">
        <v>0</v>
      </c>
      <c r="AC181" s="364">
        <v>0</v>
      </c>
      <c r="AE181" s="56">
        <v>100</v>
      </c>
      <c r="AF181" s="56">
        <v>818</v>
      </c>
      <c r="AG181" s="56">
        <v>1.5</v>
      </c>
      <c r="AH181" s="56">
        <v>90</v>
      </c>
    </row>
    <row r="182" spans="1:34" x14ac:dyDescent="0.2">
      <c r="A182" s="297">
        <v>147</v>
      </c>
      <c r="B182" s="282" t="s">
        <v>162</v>
      </c>
      <c r="C182" s="45"/>
      <c r="D182" s="133">
        <f>Produksi!F190</f>
        <v>9.0188264055307599</v>
      </c>
      <c r="E182" s="333">
        <f>Stok!L187</f>
        <v>0</v>
      </c>
      <c r="F182" s="134">
        <f>'Impor_Pangan Masuk'!F189+'ESTIMASI  Ekspor Impor'!J182</f>
        <v>10.050000000000001</v>
      </c>
      <c r="G182" s="134">
        <f>'Ekspor_Pangan Keluar'!F189+'ESTIMASI  Ekspor Impor'!K182</f>
        <v>0</v>
      </c>
      <c r="H182" s="134">
        <f>D182-E182+F182-G182</f>
        <v>19.068826405530761</v>
      </c>
      <c r="I182" s="134">
        <f>'Pemakaian Dalam Negeri REVISI'!E182</f>
        <v>0</v>
      </c>
      <c r="J182" s="134">
        <f>'Pemakaian Dalam Negeri REVISI'!F182</f>
        <v>0</v>
      </c>
      <c r="K182" s="134">
        <f>'Pemakaian Dalam Negeri REVISI'!G182</f>
        <v>0</v>
      </c>
      <c r="L182" s="134">
        <f>'Pemakaian Dalam Negeri REVISI'!H182</f>
        <v>0</v>
      </c>
      <c r="M182" s="134">
        <f>'Pemakaian Dalam Negeri REVISI'!I182</f>
        <v>0</v>
      </c>
      <c r="N182" s="134">
        <f>'Pemakaian Dalam Negeri REVISI'!J182</f>
        <v>19.068826405530761</v>
      </c>
      <c r="O182" s="126">
        <f>(N182+K182)/$Q$4*1000</f>
        <v>7.6857888416318743E-2</v>
      </c>
      <c r="P182" s="126">
        <f>O182/365*1000</f>
        <v>0.21056955730498286</v>
      </c>
      <c r="Q182" s="122">
        <f>P182/100*T182/100*U182</f>
        <v>1.72245897875476</v>
      </c>
      <c r="R182" s="126">
        <f>P182/100*T182/100*V182</f>
        <v>3.158543359574743E-3</v>
      </c>
      <c r="S182" s="127">
        <f>P182/100*T182/100*W182</f>
        <v>0.1895126015744846</v>
      </c>
      <c r="T182" s="576">
        <v>100</v>
      </c>
      <c r="U182" s="575">
        <v>818</v>
      </c>
      <c r="V182" s="575">
        <v>1.5</v>
      </c>
      <c r="W182" s="574">
        <v>90</v>
      </c>
      <c r="X182" s="187">
        <v>0</v>
      </c>
      <c r="Y182" s="187">
        <v>0</v>
      </c>
      <c r="Z182" s="187">
        <v>0</v>
      </c>
      <c r="AA182" s="187">
        <v>0</v>
      </c>
      <c r="AB182" s="187">
        <v>0</v>
      </c>
      <c r="AC182" s="364">
        <v>0</v>
      </c>
      <c r="AE182" s="56">
        <v>100</v>
      </c>
      <c r="AF182" s="56">
        <v>818</v>
      </c>
      <c r="AG182" s="56">
        <v>1.5</v>
      </c>
      <c r="AH182" s="56">
        <v>90</v>
      </c>
    </row>
    <row r="183" spans="1:34" x14ac:dyDescent="0.2">
      <c r="A183" s="297">
        <v>148</v>
      </c>
      <c r="B183" s="282" t="s">
        <v>163</v>
      </c>
      <c r="C183" s="45"/>
      <c r="D183" s="133">
        <f>Produksi!F191</f>
        <v>5.0385487346193996</v>
      </c>
      <c r="E183" s="333">
        <f>Stok!L188</f>
        <v>0</v>
      </c>
      <c r="F183" s="134">
        <f>'Impor_Pangan Masuk'!F190+'ESTIMASI  Ekspor Impor'!J183</f>
        <v>0</v>
      </c>
      <c r="G183" s="134">
        <f>'Ekspor_Pangan Keluar'!F190+'ESTIMASI  Ekspor Impor'!K183</f>
        <v>0</v>
      </c>
      <c r="H183" s="134">
        <f>D183-E183+F183-G183</f>
        <v>5.0385487346193996</v>
      </c>
      <c r="I183" s="134">
        <f>'Pemakaian Dalam Negeri REVISI'!E183</f>
        <v>0</v>
      </c>
      <c r="J183" s="134">
        <f>'Pemakaian Dalam Negeri REVISI'!F183</f>
        <v>0</v>
      </c>
      <c r="K183" s="134">
        <f>'Pemakaian Dalam Negeri REVISI'!G183</f>
        <v>0</v>
      </c>
      <c r="L183" s="134">
        <f>'Pemakaian Dalam Negeri REVISI'!H183</f>
        <v>0</v>
      </c>
      <c r="M183" s="134">
        <f>'Pemakaian Dalam Negeri REVISI'!I183</f>
        <v>0</v>
      </c>
      <c r="N183" s="134">
        <f>'Pemakaian Dalam Negeri REVISI'!J183</f>
        <v>5.0385487346193996</v>
      </c>
      <c r="O183" s="126">
        <f>(N183+K183)/$Q$4*1000</f>
        <v>2.0308130568184438E-2</v>
      </c>
      <c r="P183" s="126">
        <f>O183/365*1000</f>
        <v>5.5638713885436814E-2</v>
      </c>
      <c r="Q183" s="122">
        <f>P183/100*T183/100*U183</f>
        <v>0.45512467958287312</v>
      </c>
      <c r="R183" s="126">
        <f>P183/100*T183/100*V183</f>
        <v>8.3458070828155214E-4</v>
      </c>
      <c r="S183" s="127">
        <f>P183/100*T183/100*W183</f>
        <v>5.0074842496893125E-2</v>
      </c>
      <c r="T183" s="576">
        <v>100</v>
      </c>
      <c r="U183" s="575">
        <v>818</v>
      </c>
      <c r="V183" s="575">
        <v>1.5</v>
      </c>
      <c r="W183" s="574">
        <v>90</v>
      </c>
      <c r="X183" s="187">
        <v>0</v>
      </c>
      <c r="Y183" s="187">
        <v>0</v>
      </c>
      <c r="Z183" s="187">
        <v>0</v>
      </c>
      <c r="AA183" s="187">
        <v>0</v>
      </c>
      <c r="AB183" s="187">
        <v>0</v>
      </c>
      <c r="AC183" s="364">
        <v>0</v>
      </c>
      <c r="AE183" s="358"/>
      <c r="AF183" s="358"/>
      <c r="AG183" s="358"/>
      <c r="AH183" s="358"/>
    </row>
    <row r="184" spans="1:34" x14ac:dyDescent="0.2">
      <c r="A184" s="297">
        <v>149</v>
      </c>
      <c r="B184" s="282" t="s">
        <v>164</v>
      </c>
      <c r="C184" s="45"/>
      <c r="D184" s="133">
        <f>Produksi!F192</f>
        <v>0</v>
      </c>
      <c r="E184" s="333">
        <f>Stok!L189</f>
        <v>0</v>
      </c>
      <c r="F184" s="134">
        <f>'Impor_Pangan Masuk'!F191+'ESTIMASI  Ekspor Impor'!J184</f>
        <v>0</v>
      </c>
      <c r="G184" s="134">
        <f>'Ekspor_Pangan Keluar'!F191+'ESTIMASI  Ekspor Impor'!K184</f>
        <v>0</v>
      </c>
      <c r="H184" s="134">
        <f>D184-E184+F184-G184</f>
        <v>0</v>
      </c>
      <c r="I184" s="134">
        <f>'Pemakaian Dalam Negeri REVISI'!E184</f>
        <v>0</v>
      </c>
      <c r="J184" s="134">
        <f>'Pemakaian Dalam Negeri REVISI'!F184</f>
        <v>0</v>
      </c>
      <c r="K184" s="134">
        <f>'Pemakaian Dalam Negeri REVISI'!G184</f>
        <v>0</v>
      </c>
      <c r="L184" s="134">
        <f>'Pemakaian Dalam Negeri REVISI'!H184</f>
        <v>0</v>
      </c>
      <c r="M184" s="134">
        <f>'Pemakaian Dalam Negeri REVISI'!I184</f>
        <v>0</v>
      </c>
      <c r="N184" s="134">
        <f>'Pemakaian Dalam Negeri REVISI'!J184</f>
        <v>0</v>
      </c>
      <c r="O184" s="126">
        <f>(N184+K184)/$Q$4*1000</f>
        <v>0</v>
      </c>
      <c r="P184" s="126">
        <f>O184/365*1000</f>
        <v>0</v>
      </c>
      <c r="Q184" s="122">
        <f>P184/100*T184/100*U184</f>
        <v>0</v>
      </c>
      <c r="R184" s="126">
        <f>P184/100*T184/100*V184</f>
        <v>0</v>
      </c>
      <c r="S184" s="127">
        <f>P184/100*T184/100*W184</f>
        <v>0</v>
      </c>
      <c r="T184" s="576">
        <v>100</v>
      </c>
      <c r="U184" s="575">
        <v>818</v>
      </c>
      <c r="V184" s="575">
        <v>1.5</v>
      </c>
      <c r="W184" s="574">
        <v>90</v>
      </c>
      <c r="X184" s="187">
        <v>0</v>
      </c>
      <c r="Y184" s="187">
        <v>0</v>
      </c>
      <c r="Z184" s="187">
        <v>0</v>
      </c>
      <c r="AA184" s="187">
        <v>0</v>
      </c>
      <c r="AB184" s="187">
        <v>0</v>
      </c>
      <c r="AC184" s="364">
        <v>0</v>
      </c>
      <c r="AE184" s="358"/>
      <c r="AF184" s="358"/>
      <c r="AG184" s="358"/>
      <c r="AH184" s="358"/>
    </row>
    <row r="185" spans="1:34" x14ac:dyDescent="0.2">
      <c r="A185" s="297">
        <v>150</v>
      </c>
      <c r="B185" s="282" t="s">
        <v>165</v>
      </c>
      <c r="C185" s="45"/>
      <c r="D185" s="133">
        <f>Produksi!F193</f>
        <v>0</v>
      </c>
      <c r="E185" s="333">
        <f>Stok!L190</f>
        <v>0</v>
      </c>
      <c r="F185" s="134">
        <f>'Impor_Pangan Masuk'!F192+'ESTIMASI  Ekspor Impor'!J185</f>
        <v>0</v>
      </c>
      <c r="G185" s="134">
        <f>'Ekspor_Pangan Keluar'!F192+'ESTIMASI  Ekspor Impor'!K185</f>
        <v>0</v>
      </c>
      <c r="H185" s="134">
        <f>D185-E185+F185-G185</f>
        <v>0</v>
      </c>
      <c r="I185" s="134">
        <f>'Pemakaian Dalam Negeri REVISI'!E185</f>
        <v>0</v>
      </c>
      <c r="J185" s="134">
        <f>'Pemakaian Dalam Negeri REVISI'!F185</f>
        <v>0</v>
      </c>
      <c r="K185" s="134">
        <f>'Pemakaian Dalam Negeri REVISI'!G185</f>
        <v>0</v>
      </c>
      <c r="L185" s="134">
        <f>'Pemakaian Dalam Negeri REVISI'!H185</f>
        <v>0</v>
      </c>
      <c r="M185" s="134">
        <f>'Pemakaian Dalam Negeri REVISI'!I185</f>
        <v>0</v>
      </c>
      <c r="N185" s="134">
        <f>'Pemakaian Dalam Negeri REVISI'!J185</f>
        <v>0</v>
      </c>
      <c r="O185" s="585">
        <f>(N185+K185)/$Q$4*1000</f>
        <v>0</v>
      </c>
      <c r="P185" s="585">
        <f>O185/365*1000</f>
        <v>0</v>
      </c>
      <c r="Q185" s="133">
        <f>P185/100*T185/100*U185</f>
        <v>0</v>
      </c>
      <c r="R185" s="585">
        <f>P185/100*T185/100*V185</f>
        <v>0</v>
      </c>
      <c r="S185" s="586">
        <f>P185/100*T185/100*W185</f>
        <v>0</v>
      </c>
      <c r="T185" s="573">
        <v>100</v>
      </c>
      <c r="U185" s="572">
        <v>902</v>
      </c>
      <c r="V185" s="572">
        <v>0</v>
      </c>
      <c r="W185" s="571">
        <v>100</v>
      </c>
      <c r="X185" s="371">
        <v>0</v>
      </c>
      <c r="Y185" s="371">
        <v>0</v>
      </c>
      <c r="Z185" s="371">
        <v>0</v>
      </c>
      <c r="AA185" s="371">
        <v>0</v>
      </c>
      <c r="AB185" s="371">
        <v>0</v>
      </c>
      <c r="AC185" s="372">
        <v>0</v>
      </c>
      <c r="AE185" s="56">
        <v>100</v>
      </c>
      <c r="AF185" s="56">
        <v>902</v>
      </c>
      <c r="AG185" s="56">
        <v>0</v>
      </c>
      <c r="AH185" s="56">
        <v>100</v>
      </c>
    </row>
    <row r="187" spans="1:34" x14ac:dyDescent="0.2">
      <c r="D187" s="207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</row>
    <row r="188" spans="1:34" x14ac:dyDescent="0.2">
      <c r="O188" s="199" t="s">
        <v>300</v>
      </c>
      <c r="P188" s="341" t="s">
        <v>301</v>
      </c>
      <c r="Q188" s="569">
        <f>Q172+Q135+Q131+Q125+Q112+Q77+Q35+Q29+Q24+Q18+Q12</f>
        <v>2422.5598796523864</v>
      </c>
      <c r="R188" s="200">
        <f>R172+R135+R131+R125+R112+R77+R35+R29+R24+R18+R12</f>
        <v>101.94146800108925</v>
      </c>
      <c r="S188" s="200">
        <f>S172+S135+S131+S125+S112+S77+S35+S29+S24+S18+S12</f>
        <v>73.178643885935912</v>
      </c>
    </row>
    <row r="189" spans="1:34" x14ac:dyDescent="0.2">
      <c r="O189" s="69"/>
      <c r="P189" s="342"/>
      <c r="Q189" s="570"/>
      <c r="R189" s="200"/>
      <c r="S189" s="201"/>
    </row>
    <row r="190" spans="1:34" x14ac:dyDescent="0.2">
      <c r="O190" s="199" t="s">
        <v>302</v>
      </c>
      <c r="P190" s="341" t="s">
        <v>301</v>
      </c>
      <c r="Q190" s="569">
        <f>Q173+Q174+Q175+Q177+Q176+Q178+Q179+Q157+Q77+Q35+Q29+Q24+Q18+Q12</f>
        <v>1807.7172462695321</v>
      </c>
      <c r="R190" s="200">
        <f>R173+R174+R175+R177+R176+R178+R179+R157+R77+R35+R29+R24+R18+R12</f>
        <v>32.426991617679718</v>
      </c>
      <c r="S190" s="200">
        <f>S173+S174+S175+S177+S176+S178+S179+S157+S77+S35+S29+S24+S18+S12</f>
        <v>38.943584232358837</v>
      </c>
    </row>
    <row r="191" spans="1:34" x14ac:dyDescent="0.2">
      <c r="O191" s="199"/>
      <c r="P191" s="341"/>
      <c r="Q191" s="569"/>
      <c r="R191" s="200"/>
      <c r="S191" s="200"/>
    </row>
    <row r="192" spans="1:34" x14ac:dyDescent="0.2">
      <c r="O192" s="199" t="s">
        <v>303</v>
      </c>
      <c r="P192" s="341" t="s">
        <v>301</v>
      </c>
      <c r="Q192" s="569">
        <f>Q181+Q185+Q184+Q183+Q182+Q135+Q131+Q125+Q112-Q157</f>
        <v>614.84263338285427</v>
      </c>
      <c r="R192" s="200">
        <f>R181+R185+R184+R183+R182+R135+R131+R125+R112-R157</f>
        <v>69.514476383409516</v>
      </c>
      <c r="S192" s="200">
        <f>S181+S185+S184+S183+S182+S135+S131+S125+S112-S157</f>
        <v>34.235059653577053</v>
      </c>
    </row>
  </sheetData>
  <sheetProtection algorithmName="SHA-512" hashValue="24jQPZhwiqXNJrtflh4t6PVKu3DzlDeab/HP/B0/2wI5ch9ugqoAV5aYuwJm6TpR/hjR6HkavOJIgO8RbDQLaw==" saltValue="BLzT5D5ReI3m4Ta7qlz4/A==" spinCount="100000" sheet="1" objects="1" scenarios="1"/>
  <mergeCells count="32">
    <mergeCell ref="R1:S1"/>
    <mergeCell ref="A2:S2"/>
    <mergeCell ref="A3:S3"/>
    <mergeCell ref="G4:I4"/>
    <mergeCell ref="A5:C7"/>
    <mergeCell ref="D5:H5"/>
    <mergeCell ref="I5:N5"/>
    <mergeCell ref="O5:S5"/>
    <mergeCell ref="D6:D7"/>
    <mergeCell ref="E6:E7"/>
    <mergeCell ref="O7:O8"/>
    <mergeCell ref="T9:W9"/>
    <mergeCell ref="G8:G10"/>
    <mergeCell ref="I8:I10"/>
    <mergeCell ref="J8:J10"/>
    <mergeCell ref="K8:K10"/>
    <mergeCell ref="H6:H10"/>
    <mergeCell ref="I6:I7"/>
    <mergeCell ref="J6:J7"/>
    <mergeCell ref="M6:M7"/>
    <mergeCell ref="O6:S6"/>
    <mergeCell ref="O9:O10"/>
    <mergeCell ref="A11:C11"/>
    <mergeCell ref="L8:L10"/>
    <mergeCell ref="L6:L7"/>
    <mergeCell ref="M8:M10"/>
    <mergeCell ref="N8:N10"/>
    <mergeCell ref="F6:F7"/>
    <mergeCell ref="G6:G7"/>
    <mergeCell ref="A8:C9"/>
    <mergeCell ref="D8:D10"/>
    <mergeCell ref="F8:F10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53" firstPageNumber="58" fitToHeight="0" pageOrder="overThenDown" orientation="portrait" useFirstPageNumber="1" horizontalDpi="360" verticalDpi="360" r:id="rId1"/>
  <headerFooter>
    <oddFooter>&amp;LNeraca Bahan Makanan  2016-2018&amp;C&amp;P</oddFooter>
  </headerFooter>
  <rowBreaks count="4" manualBreakCount="4">
    <brk id="30" max="20" man="1"/>
    <brk id="61" max="20" man="1"/>
    <brk id="94" max="20" man="1"/>
    <brk id="109" max="20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60"/>
  <sheetViews>
    <sheetView topLeftCell="B1" zoomScale="94" zoomScaleNormal="130" workbookViewId="0">
      <selection activeCell="C9" sqref="C9"/>
    </sheetView>
  </sheetViews>
  <sheetFormatPr defaultColWidth="9" defaultRowHeight="12.75" x14ac:dyDescent="0.2"/>
  <cols>
    <col min="1" max="1" width="4.28515625" style="213" customWidth="1"/>
    <col min="2" max="2" width="17.28515625" style="213" customWidth="1"/>
    <col min="3" max="8" width="9" style="213"/>
    <col min="9" max="9" width="7.7109375" style="213" customWidth="1"/>
    <col min="10" max="11" width="9" style="213"/>
    <col min="12" max="12" width="25" style="213" customWidth="1"/>
    <col min="13" max="13" width="10.28515625" style="213" customWidth="1"/>
    <col min="14" max="14" width="11" style="213" customWidth="1"/>
    <col min="15" max="15" width="12.7109375" style="213" customWidth="1"/>
    <col min="16" max="256" width="9" style="213"/>
    <col min="257" max="257" width="4.28515625" style="213" customWidth="1"/>
    <col min="258" max="258" width="17.28515625" style="213" customWidth="1"/>
    <col min="259" max="264" width="9" style="213"/>
    <col min="265" max="265" width="7.7109375" style="213" customWidth="1"/>
    <col min="266" max="267" width="9" style="213"/>
    <col min="268" max="268" width="25" style="213" customWidth="1"/>
    <col min="269" max="269" width="10.28515625" style="213" customWidth="1"/>
    <col min="270" max="270" width="11" style="213" customWidth="1"/>
    <col min="271" max="271" width="12.7109375" style="213" customWidth="1"/>
    <col min="272" max="512" width="9" style="213"/>
    <col min="513" max="513" width="4.28515625" style="213" customWidth="1"/>
    <col min="514" max="514" width="17.28515625" style="213" customWidth="1"/>
    <col min="515" max="520" width="9" style="213"/>
    <col min="521" max="521" width="7.7109375" style="213" customWidth="1"/>
    <col min="522" max="523" width="9" style="213"/>
    <col min="524" max="524" width="25" style="213" customWidth="1"/>
    <col min="525" max="525" width="10.28515625" style="213" customWidth="1"/>
    <col min="526" max="526" width="11" style="213" customWidth="1"/>
    <col min="527" max="527" width="12.7109375" style="213" customWidth="1"/>
    <col min="528" max="768" width="9" style="213"/>
    <col min="769" max="769" width="4.28515625" style="213" customWidth="1"/>
    <col min="770" max="770" width="17.28515625" style="213" customWidth="1"/>
    <col min="771" max="776" width="9" style="213"/>
    <col min="777" max="777" width="7.7109375" style="213" customWidth="1"/>
    <col min="778" max="779" width="9" style="213"/>
    <col min="780" max="780" width="25" style="213" customWidth="1"/>
    <col min="781" max="781" width="10.28515625" style="213" customWidth="1"/>
    <col min="782" max="782" width="11" style="213" customWidth="1"/>
    <col min="783" max="783" width="12.7109375" style="213" customWidth="1"/>
    <col min="784" max="1024" width="9" style="213"/>
    <col min="1025" max="1025" width="4.28515625" style="213" customWidth="1"/>
    <col min="1026" max="1026" width="17.28515625" style="213" customWidth="1"/>
    <col min="1027" max="1032" width="9" style="213"/>
    <col min="1033" max="1033" width="7.7109375" style="213" customWidth="1"/>
    <col min="1034" max="1035" width="9" style="213"/>
    <col min="1036" max="1036" width="25" style="213" customWidth="1"/>
    <col min="1037" max="1037" width="10.28515625" style="213" customWidth="1"/>
    <col min="1038" max="1038" width="11" style="213" customWidth="1"/>
    <col min="1039" max="1039" width="12.7109375" style="213" customWidth="1"/>
    <col min="1040" max="1280" width="9" style="213"/>
    <col min="1281" max="1281" width="4.28515625" style="213" customWidth="1"/>
    <col min="1282" max="1282" width="17.28515625" style="213" customWidth="1"/>
    <col min="1283" max="1288" width="9" style="213"/>
    <col min="1289" max="1289" width="7.7109375" style="213" customWidth="1"/>
    <col min="1290" max="1291" width="9" style="213"/>
    <col min="1292" max="1292" width="25" style="213" customWidth="1"/>
    <col min="1293" max="1293" width="10.28515625" style="213" customWidth="1"/>
    <col min="1294" max="1294" width="11" style="213" customWidth="1"/>
    <col min="1295" max="1295" width="12.7109375" style="213" customWidth="1"/>
    <col min="1296" max="1536" width="9" style="213"/>
    <col min="1537" max="1537" width="4.28515625" style="213" customWidth="1"/>
    <col min="1538" max="1538" width="17.28515625" style="213" customWidth="1"/>
    <col min="1539" max="1544" width="9" style="213"/>
    <col min="1545" max="1545" width="7.7109375" style="213" customWidth="1"/>
    <col min="1546" max="1547" width="9" style="213"/>
    <col min="1548" max="1548" width="25" style="213" customWidth="1"/>
    <col min="1549" max="1549" width="10.28515625" style="213" customWidth="1"/>
    <col min="1550" max="1550" width="11" style="213" customWidth="1"/>
    <col min="1551" max="1551" width="12.7109375" style="213" customWidth="1"/>
    <col min="1552" max="1792" width="9" style="213"/>
    <col min="1793" max="1793" width="4.28515625" style="213" customWidth="1"/>
    <col min="1794" max="1794" width="17.28515625" style="213" customWidth="1"/>
    <col min="1795" max="1800" width="9" style="213"/>
    <col min="1801" max="1801" width="7.7109375" style="213" customWidth="1"/>
    <col min="1802" max="1803" width="9" style="213"/>
    <col min="1804" max="1804" width="25" style="213" customWidth="1"/>
    <col min="1805" max="1805" width="10.28515625" style="213" customWidth="1"/>
    <col min="1806" max="1806" width="11" style="213" customWidth="1"/>
    <col min="1807" max="1807" width="12.7109375" style="213" customWidth="1"/>
    <col min="1808" max="2048" width="9" style="213"/>
    <col min="2049" max="2049" width="4.28515625" style="213" customWidth="1"/>
    <col min="2050" max="2050" width="17.28515625" style="213" customWidth="1"/>
    <col min="2051" max="2056" width="9" style="213"/>
    <col min="2057" max="2057" width="7.7109375" style="213" customWidth="1"/>
    <col min="2058" max="2059" width="9" style="213"/>
    <col min="2060" max="2060" width="25" style="213" customWidth="1"/>
    <col min="2061" max="2061" width="10.28515625" style="213" customWidth="1"/>
    <col min="2062" max="2062" width="11" style="213" customWidth="1"/>
    <col min="2063" max="2063" width="12.7109375" style="213" customWidth="1"/>
    <col min="2064" max="2304" width="9" style="213"/>
    <col min="2305" max="2305" width="4.28515625" style="213" customWidth="1"/>
    <col min="2306" max="2306" width="17.28515625" style="213" customWidth="1"/>
    <col min="2307" max="2312" width="9" style="213"/>
    <col min="2313" max="2313" width="7.7109375" style="213" customWidth="1"/>
    <col min="2314" max="2315" width="9" style="213"/>
    <col min="2316" max="2316" width="25" style="213" customWidth="1"/>
    <col min="2317" max="2317" width="10.28515625" style="213" customWidth="1"/>
    <col min="2318" max="2318" width="11" style="213" customWidth="1"/>
    <col min="2319" max="2319" width="12.7109375" style="213" customWidth="1"/>
    <col min="2320" max="2560" width="9" style="213"/>
    <col min="2561" max="2561" width="4.28515625" style="213" customWidth="1"/>
    <col min="2562" max="2562" width="17.28515625" style="213" customWidth="1"/>
    <col min="2563" max="2568" width="9" style="213"/>
    <col min="2569" max="2569" width="7.7109375" style="213" customWidth="1"/>
    <col min="2570" max="2571" width="9" style="213"/>
    <col min="2572" max="2572" width="25" style="213" customWidth="1"/>
    <col min="2573" max="2573" width="10.28515625" style="213" customWidth="1"/>
    <col min="2574" max="2574" width="11" style="213" customWidth="1"/>
    <col min="2575" max="2575" width="12.7109375" style="213" customWidth="1"/>
    <col min="2576" max="2816" width="9" style="213"/>
    <col min="2817" max="2817" width="4.28515625" style="213" customWidth="1"/>
    <col min="2818" max="2818" width="17.28515625" style="213" customWidth="1"/>
    <col min="2819" max="2824" width="9" style="213"/>
    <col min="2825" max="2825" width="7.7109375" style="213" customWidth="1"/>
    <col min="2826" max="2827" width="9" style="213"/>
    <col min="2828" max="2828" width="25" style="213" customWidth="1"/>
    <col min="2829" max="2829" width="10.28515625" style="213" customWidth="1"/>
    <col min="2830" max="2830" width="11" style="213" customWidth="1"/>
    <col min="2831" max="2831" width="12.7109375" style="213" customWidth="1"/>
    <col min="2832" max="3072" width="9" style="213"/>
    <col min="3073" max="3073" width="4.28515625" style="213" customWidth="1"/>
    <col min="3074" max="3074" width="17.28515625" style="213" customWidth="1"/>
    <col min="3075" max="3080" width="9" style="213"/>
    <col min="3081" max="3081" width="7.7109375" style="213" customWidth="1"/>
    <col min="3082" max="3083" width="9" style="213"/>
    <col min="3084" max="3084" width="25" style="213" customWidth="1"/>
    <col min="3085" max="3085" width="10.28515625" style="213" customWidth="1"/>
    <col min="3086" max="3086" width="11" style="213" customWidth="1"/>
    <col min="3087" max="3087" width="12.7109375" style="213" customWidth="1"/>
    <col min="3088" max="3328" width="9" style="213"/>
    <col min="3329" max="3329" width="4.28515625" style="213" customWidth="1"/>
    <col min="3330" max="3330" width="17.28515625" style="213" customWidth="1"/>
    <col min="3331" max="3336" width="9" style="213"/>
    <col min="3337" max="3337" width="7.7109375" style="213" customWidth="1"/>
    <col min="3338" max="3339" width="9" style="213"/>
    <col min="3340" max="3340" width="25" style="213" customWidth="1"/>
    <col min="3341" max="3341" width="10.28515625" style="213" customWidth="1"/>
    <col min="3342" max="3342" width="11" style="213" customWidth="1"/>
    <col min="3343" max="3343" width="12.7109375" style="213" customWidth="1"/>
    <col min="3344" max="3584" width="9" style="213"/>
    <col min="3585" max="3585" width="4.28515625" style="213" customWidth="1"/>
    <col min="3586" max="3586" width="17.28515625" style="213" customWidth="1"/>
    <col min="3587" max="3592" width="9" style="213"/>
    <col min="3593" max="3593" width="7.7109375" style="213" customWidth="1"/>
    <col min="3594" max="3595" width="9" style="213"/>
    <col min="3596" max="3596" width="25" style="213" customWidth="1"/>
    <col min="3597" max="3597" width="10.28515625" style="213" customWidth="1"/>
    <col min="3598" max="3598" width="11" style="213" customWidth="1"/>
    <col min="3599" max="3599" width="12.7109375" style="213" customWidth="1"/>
    <col min="3600" max="3840" width="9" style="213"/>
    <col min="3841" max="3841" width="4.28515625" style="213" customWidth="1"/>
    <col min="3842" max="3842" width="17.28515625" style="213" customWidth="1"/>
    <col min="3843" max="3848" width="9" style="213"/>
    <col min="3849" max="3849" width="7.7109375" style="213" customWidth="1"/>
    <col min="3850" max="3851" width="9" style="213"/>
    <col min="3852" max="3852" width="25" style="213" customWidth="1"/>
    <col min="3853" max="3853" width="10.28515625" style="213" customWidth="1"/>
    <col min="3854" max="3854" width="11" style="213" customWidth="1"/>
    <col min="3855" max="3855" width="12.7109375" style="213" customWidth="1"/>
    <col min="3856" max="4096" width="9" style="213"/>
    <col min="4097" max="4097" width="4.28515625" style="213" customWidth="1"/>
    <col min="4098" max="4098" width="17.28515625" style="213" customWidth="1"/>
    <col min="4099" max="4104" width="9" style="213"/>
    <col min="4105" max="4105" width="7.7109375" style="213" customWidth="1"/>
    <col min="4106" max="4107" width="9" style="213"/>
    <col min="4108" max="4108" width="25" style="213" customWidth="1"/>
    <col min="4109" max="4109" width="10.28515625" style="213" customWidth="1"/>
    <col min="4110" max="4110" width="11" style="213" customWidth="1"/>
    <col min="4111" max="4111" width="12.7109375" style="213" customWidth="1"/>
    <col min="4112" max="4352" width="9" style="213"/>
    <col min="4353" max="4353" width="4.28515625" style="213" customWidth="1"/>
    <col min="4354" max="4354" width="17.28515625" style="213" customWidth="1"/>
    <col min="4355" max="4360" width="9" style="213"/>
    <col min="4361" max="4361" width="7.7109375" style="213" customWidth="1"/>
    <col min="4362" max="4363" width="9" style="213"/>
    <col min="4364" max="4364" width="25" style="213" customWidth="1"/>
    <col min="4365" max="4365" width="10.28515625" style="213" customWidth="1"/>
    <col min="4366" max="4366" width="11" style="213" customWidth="1"/>
    <col min="4367" max="4367" width="12.7109375" style="213" customWidth="1"/>
    <col min="4368" max="4608" width="9" style="213"/>
    <col min="4609" max="4609" width="4.28515625" style="213" customWidth="1"/>
    <col min="4610" max="4610" width="17.28515625" style="213" customWidth="1"/>
    <col min="4611" max="4616" width="9" style="213"/>
    <col min="4617" max="4617" width="7.7109375" style="213" customWidth="1"/>
    <col min="4618" max="4619" width="9" style="213"/>
    <col min="4620" max="4620" width="25" style="213" customWidth="1"/>
    <col min="4621" max="4621" width="10.28515625" style="213" customWidth="1"/>
    <col min="4622" max="4622" width="11" style="213" customWidth="1"/>
    <col min="4623" max="4623" width="12.7109375" style="213" customWidth="1"/>
    <col min="4624" max="4864" width="9" style="213"/>
    <col min="4865" max="4865" width="4.28515625" style="213" customWidth="1"/>
    <col min="4866" max="4866" width="17.28515625" style="213" customWidth="1"/>
    <col min="4867" max="4872" width="9" style="213"/>
    <col min="4873" max="4873" width="7.7109375" style="213" customWidth="1"/>
    <col min="4874" max="4875" width="9" style="213"/>
    <col min="4876" max="4876" width="25" style="213" customWidth="1"/>
    <col min="4877" max="4877" width="10.28515625" style="213" customWidth="1"/>
    <col min="4878" max="4878" width="11" style="213" customWidth="1"/>
    <col min="4879" max="4879" width="12.7109375" style="213" customWidth="1"/>
    <col min="4880" max="5120" width="9" style="213"/>
    <col min="5121" max="5121" width="4.28515625" style="213" customWidth="1"/>
    <col min="5122" max="5122" width="17.28515625" style="213" customWidth="1"/>
    <col min="5123" max="5128" width="9" style="213"/>
    <col min="5129" max="5129" width="7.7109375" style="213" customWidth="1"/>
    <col min="5130" max="5131" width="9" style="213"/>
    <col min="5132" max="5132" width="25" style="213" customWidth="1"/>
    <col min="5133" max="5133" width="10.28515625" style="213" customWidth="1"/>
    <col min="5134" max="5134" width="11" style="213" customWidth="1"/>
    <col min="5135" max="5135" width="12.7109375" style="213" customWidth="1"/>
    <col min="5136" max="5376" width="9" style="213"/>
    <col min="5377" max="5377" width="4.28515625" style="213" customWidth="1"/>
    <col min="5378" max="5378" width="17.28515625" style="213" customWidth="1"/>
    <col min="5379" max="5384" width="9" style="213"/>
    <col min="5385" max="5385" width="7.7109375" style="213" customWidth="1"/>
    <col min="5386" max="5387" width="9" style="213"/>
    <col min="5388" max="5388" width="25" style="213" customWidth="1"/>
    <col min="5389" max="5389" width="10.28515625" style="213" customWidth="1"/>
    <col min="5390" max="5390" width="11" style="213" customWidth="1"/>
    <col min="5391" max="5391" width="12.7109375" style="213" customWidth="1"/>
    <col min="5392" max="5632" width="9" style="213"/>
    <col min="5633" max="5633" width="4.28515625" style="213" customWidth="1"/>
    <col min="5634" max="5634" width="17.28515625" style="213" customWidth="1"/>
    <col min="5635" max="5640" width="9" style="213"/>
    <col min="5641" max="5641" width="7.7109375" style="213" customWidth="1"/>
    <col min="5642" max="5643" width="9" style="213"/>
    <col min="5644" max="5644" width="25" style="213" customWidth="1"/>
    <col min="5645" max="5645" width="10.28515625" style="213" customWidth="1"/>
    <col min="5646" max="5646" width="11" style="213" customWidth="1"/>
    <col min="5647" max="5647" width="12.7109375" style="213" customWidth="1"/>
    <col min="5648" max="5888" width="9" style="213"/>
    <col min="5889" max="5889" width="4.28515625" style="213" customWidth="1"/>
    <col min="5890" max="5890" width="17.28515625" style="213" customWidth="1"/>
    <col min="5891" max="5896" width="9" style="213"/>
    <col min="5897" max="5897" width="7.7109375" style="213" customWidth="1"/>
    <col min="5898" max="5899" width="9" style="213"/>
    <col min="5900" max="5900" width="25" style="213" customWidth="1"/>
    <col min="5901" max="5901" width="10.28515625" style="213" customWidth="1"/>
    <col min="5902" max="5902" width="11" style="213" customWidth="1"/>
    <col min="5903" max="5903" width="12.7109375" style="213" customWidth="1"/>
    <col min="5904" max="6144" width="9" style="213"/>
    <col min="6145" max="6145" width="4.28515625" style="213" customWidth="1"/>
    <col min="6146" max="6146" width="17.28515625" style="213" customWidth="1"/>
    <col min="6147" max="6152" width="9" style="213"/>
    <col min="6153" max="6153" width="7.7109375" style="213" customWidth="1"/>
    <col min="6154" max="6155" width="9" style="213"/>
    <col min="6156" max="6156" width="25" style="213" customWidth="1"/>
    <col min="6157" max="6157" width="10.28515625" style="213" customWidth="1"/>
    <col min="6158" max="6158" width="11" style="213" customWidth="1"/>
    <col min="6159" max="6159" width="12.7109375" style="213" customWidth="1"/>
    <col min="6160" max="6400" width="9" style="213"/>
    <col min="6401" max="6401" width="4.28515625" style="213" customWidth="1"/>
    <col min="6402" max="6402" width="17.28515625" style="213" customWidth="1"/>
    <col min="6403" max="6408" width="9" style="213"/>
    <col min="6409" max="6409" width="7.7109375" style="213" customWidth="1"/>
    <col min="6410" max="6411" width="9" style="213"/>
    <col min="6412" max="6412" width="25" style="213" customWidth="1"/>
    <col min="6413" max="6413" width="10.28515625" style="213" customWidth="1"/>
    <col min="6414" max="6414" width="11" style="213" customWidth="1"/>
    <col min="6415" max="6415" width="12.7109375" style="213" customWidth="1"/>
    <col min="6416" max="6656" width="9" style="213"/>
    <col min="6657" max="6657" width="4.28515625" style="213" customWidth="1"/>
    <col min="6658" max="6658" width="17.28515625" style="213" customWidth="1"/>
    <col min="6659" max="6664" width="9" style="213"/>
    <col min="6665" max="6665" width="7.7109375" style="213" customWidth="1"/>
    <col min="6666" max="6667" width="9" style="213"/>
    <col min="6668" max="6668" width="25" style="213" customWidth="1"/>
    <col min="6669" max="6669" width="10.28515625" style="213" customWidth="1"/>
    <col min="6670" max="6670" width="11" style="213" customWidth="1"/>
    <col min="6671" max="6671" width="12.7109375" style="213" customWidth="1"/>
    <col min="6672" max="6912" width="9" style="213"/>
    <col min="6913" max="6913" width="4.28515625" style="213" customWidth="1"/>
    <col min="6914" max="6914" width="17.28515625" style="213" customWidth="1"/>
    <col min="6915" max="6920" width="9" style="213"/>
    <col min="6921" max="6921" width="7.7109375" style="213" customWidth="1"/>
    <col min="6922" max="6923" width="9" style="213"/>
    <col min="6924" max="6924" width="25" style="213" customWidth="1"/>
    <col min="6925" max="6925" width="10.28515625" style="213" customWidth="1"/>
    <col min="6926" max="6926" width="11" style="213" customWidth="1"/>
    <col min="6927" max="6927" width="12.7109375" style="213" customWidth="1"/>
    <col min="6928" max="7168" width="9" style="213"/>
    <col min="7169" max="7169" width="4.28515625" style="213" customWidth="1"/>
    <col min="7170" max="7170" width="17.28515625" style="213" customWidth="1"/>
    <col min="7171" max="7176" width="9" style="213"/>
    <col min="7177" max="7177" width="7.7109375" style="213" customWidth="1"/>
    <col min="7178" max="7179" width="9" style="213"/>
    <col min="7180" max="7180" width="25" style="213" customWidth="1"/>
    <col min="7181" max="7181" width="10.28515625" style="213" customWidth="1"/>
    <col min="7182" max="7182" width="11" style="213" customWidth="1"/>
    <col min="7183" max="7183" width="12.7109375" style="213" customWidth="1"/>
    <col min="7184" max="7424" width="9" style="213"/>
    <col min="7425" max="7425" width="4.28515625" style="213" customWidth="1"/>
    <col min="7426" max="7426" width="17.28515625" style="213" customWidth="1"/>
    <col min="7427" max="7432" width="9" style="213"/>
    <col min="7433" max="7433" width="7.7109375" style="213" customWidth="1"/>
    <col min="7434" max="7435" width="9" style="213"/>
    <col min="7436" max="7436" width="25" style="213" customWidth="1"/>
    <col min="7437" max="7437" width="10.28515625" style="213" customWidth="1"/>
    <col min="7438" max="7438" width="11" style="213" customWidth="1"/>
    <col min="7439" max="7439" width="12.7109375" style="213" customWidth="1"/>
    <col min="7440" max="7680" width="9" style="213"/>
    <col min="7681" max="7681" width="4.28515625" style="213" customWidth="1"/>
    <col min="7682" max="7682" width="17.28515625" style="213" customWidth="1"/>
    <col min="7683" max="7688" width="9" style="213"/>
    <col min="7689" max="7689" width="7.7109375" style="213" customWidth="1"/>
    <col min="7690" max="7691" width="9" style="213"/>
    <col min="7692" max="7692" width="25" style="213" customWidth="1"/>
    <col min="7693" max="7693" width="10.28515625" style="213" customWidth="1"/>
    <col min="7694" max="7694" width="11" style="213" customWidth="1"/>
    <col min="7695" max="7695" width="12.7109375" style="213" customWidth="1"/>
    <col min="7696" max="7936" width="9" style="213"/>
    <col min="7937" max="7937" width="4.28515625" style="213" customWidth="1"/>
    <col min="7938" max="7938" width="17.28515625" style="213" customWidth="1"/>
    <col min="7939" max="7944" width="9" style="213"/>
    <col min="7945" max="7945" width="7.7109375" style="213" customWidth="1"/>
    <col min="7946" max="7947" width="9" style="213"/>
    <col min="7948" max="7948" width="25" style="213" customWidth="1"/>
    <col min="7949" max="7949" width="10.28515625" style="213" customWidth="1"/>
    <col min="7950" max="7950" width="11" style="213" customWidth="1"/>
    <col min="7951" max="7951" width="12.7109375" style="213" customWidth="1"/>
    <col min="7952" max="8192" width="9" style="213"/>
    <col min="8193" max="8193" width="4.28515625" style="213" customWidth="1"/>
    <col min="8194" max="8194" width="17.28515625" style="213" customWidth="1"/>
    <col min="8195" max="8200" width="9" style="213"/>
    <col min="8201" max="8201" width="7.7109375" style="213" customWidth="1"/>
    <col min="8202" max="8203" width="9" style="213"/>
    <col min="8204" max="8204" width="25" style="213" customWidth="1"/>
    <col min="8205" max="8205" width="10.28515625" style="213" customWidth="1"/>
    <col min="8206" max="8206" width="11" style="213" customWidth="1"/>
    <col min="8207" max="8207" width="12.7109375" style="213" customWidth="1"/>
    <col min="8208" max="8448" width="9" style="213"/>
    <col min="8449" max="8449" width="4.28515625" style="213" customWidth="1"/>
    <col min="8450" max="8450" width="17.28515625" style="213" customWidth="1"/>
    <col min="8451" max="8456" width="9" style="213"/>
    <col min="8457" max="8457" width="7.7109375" style="213" customWidth="1"/>
    <col min="8458" max="8459" width="9" style="213"/>
    <col min="8460" max="8460" width="25" style="213" customWidth="1"/>
    <col min="8461" max="8461" width="10.28515625" style="213" customWidth="1"/>
    <col min="8462" max="8462" width="11" style="213" customWidth="1"/>
    <col min="8463" max="8463" width="12.7109375" style="213" customWidth="1"/>
    <col min="8464" max="8704" width="9" style="213"/>
    <col min="8705" max="8705" width="4.28515625" style="213" customWidth="1"/>
    <col min="8706" max="8706" width="17.28515625" style="213" customWidth="1"/>
    <col min="8707" max="8712" width="9" style="213"/>
    <col min="8713" max="8713" width="7.7109375" style="213" customWidth="1"/>
    <col min="8714" max="8715" width="9" style="213"/>
    <col min="8716" max="8716" width="25" style="213" customWidth="1"/>
    <col min="8717" max="8717" width="10.28515625" style="213" customWidth="1"/>
    <col min="8718" max="8718" width="11" style="213" customWidth="1"/>
    <col min="8719" max="8719" width="12.7109375" style="213" customWidth="1"/>
    <col min="8720" max="8960" width="9" style="213"/>
    <col min="8961" max="8961" width="4.28515625" style="213" customWidth="1"/>
    <col min="8962" max="8962" width="17.28515625" style="213" customWidth="1"/>
    <col min="8963" max="8968" width="9" style="213"/>
    <col min="8969" max="8969" width="7.7109375" style="213" customWidth="1"/>
    <col min="8970" max="8971" width="9" style="213"/>
    <col min="8972" max="8972" width="25" style="213" customWidth="1"/>
    <col min="8973" max="8973" width="10.28515625" style="213" customWidth="1"/>
    <col min="8974" max="8974" width="11" style="213" customWidth="1"/>
    <col min="8975" max="8975" width="12.7109375" style="213" customWidth="1"/>
    <col min="8976" max="9216" width="9" style="213"/>
    <col min="9217" max="9217" width="4.28515625" style="213" customWidth="1"/>
    <col min="9218" max="9218" width="17.28515625" style="213" customWidth="1"/>
    <col min="9219" max="9224" width="9" style="213"/>
    <col min="9225" max="9225" width="7.7109375" style="213" customWidth="1"/>
    <col min="9226" max="9227" width="9" style="213"/>
    <col min="9228" max="9228" width="25" style="213" customWidth="1"/>
    <col min="9229" max="9229" width="10.28515625" style="213" customWidth="1"/>
    <col min="9230" max="9230" width="11" style="213" customWidth="1"/>
    <col min="9231" max="9231" width="12.7109375" style="213" customWidth="1"/>
    <col min="9232" max="9472" width="9" style="213"/>
    <col min="9473" max="9473" width="4.28515625" style="213" customWidth="1"/>
    <col min="9474" max="9474" width="17.28515625" style="213" customWidth="1"/>
    <col min="9475" max="9480" width="9" style="213"/>
    <col min="9481" max="9481" width="7.7109375" style="213" customWidth="1"/>
    <col min="9482" max="9483" width="9" style="213"/>
    <col min="9484" max="9484" width="25" style="213" customWidth="1"/>
    <col min="9485" max="9485" width="10.28515625" style="213" customWidth="1"/>
    <col min="9486" max="9486" width="11" style="213" customWidth="1"/>
    <col min="9487" max="9487" width="12.7109375" style="213" customWidth="1"/>
    <col min="9488" max="9728" width="9" style="213"/>
    <col min="9729" max="9729" width="4.28515625" style="213" customWidth="1"/>
    <col min="9730" max="9730" width="17.28515625" style="213" customWidth="1"/>
    <col min="9731" max="9736" width="9" style="213"/>
    <col min="9737" max="9737" width="7.7109375" style="213" customWidth="1"/>
    <col min="9738" max="9739" width="9" style="213"/>
    <col min="9740" max="9740" width="25" style="213" customWidth="1"/>
    <col min="9741" max="9741" width="10.28515625" style="213" customWidth="1"/>
    <col min="9742" max="9742" width="11" style="213" customWidth="1"/>
    <col min="9743" max="9743" width="12.7109375" style="213" customWidth="1"/>
    <col min="9744" max="9984" width="9" style="213"/>
    <col min="9985" max="9985" width="4.28515625" style="213" customWidth="1"/>
    <col min="9986" max="9986" width="17.28515625" style="213" customWidth="1"/>
    <col min="9987" max="9992" width="9" style="213"/>
    <col min="9993" max="9993" width="7.7109375" style="213" customWidth="1"/>
    <col min="9994" max="9995" width="9" style="213"/>
    <col min="9996" max="9996" width="25" style="213" customWidth="1"/>
    <col min="9997" max="9997" width="10.28515625" style="213" customWidth="1"/>
    <col min="9998" max="9998" width="11" style="213" customWidth="1"/>
    <col min="9999" max="9999" width="12.7109375" style="213" customWidth="1"/>
    <col min="10000" max="10240" width="9" style="213"/>
    <col min="10241" max="10241" width="4.28515625" style="213" customWidth="1"/>
    <col min="10242" max="10242" width="17.28515625" style="213" customWidth="1"/>
    <col min="10243" max="10248" width="9" style="213"/>
    <col min="10249" max="10249" width="7.7109375" style="213" customWidth="1"/>
    <col min="10250" max="10251" width="9" style="213"/>
    <col min="10252" max="10252" width="25" style="213" customWidth="1"/>
    <col min="10253" max="10253" width="10.28515625" style="213" customWidth="1"/>
    <col min="10254" max="10254" width="11" style="213" customWidth="1"/>
    <col min="10255" max="10255" width="12.7109375" style="213" customWidth="1"/>
    <col min="10256" max="10496" width="9" style="213"/>
    <col min="10497" max="10497" width="4.28515625" style="213" customWidth="1"/>
    <col min="10498" max="10498" width="17.28515625" style="213" customWidth="1"/>
    <col min="10499" max="10504" width="9" style="213"/>
    <col min="10505" max="10505" width="7.7109375" style="213" customWidth="1"/>
    <col min="10506" max="10507" width="9" style="213"/>
    <col min="10508" max="10508" width="25" style="213" customWidth="1"/>
    <col min="10509" max="10509" width="10.28515625" style="213" customWidth="1"/>
    <col min="10510" max="10510" width="11" style="213" customWidth="1"/>
    <col min="10511" max="10511" width="12.7109375" style="213" customWidth="1"/>
    <col min="10512" max="10752" width="9" style="213"/>
    <col min="10753" max="10753" width="4.28515625" style="213" customWidth="1"/>
    <col min="10754" max="10754" width="17.28515625" style="213" customWidth="1"/>
    <col min="10755" max="10760" width="9" style="213"/>
    <col min="10761" max="10761" width="7.7109375" style="213" customWidth="1"/>
    <col min="10762" max="10763" width="9" style="213"/>
    <col min="10764" max="10764" width="25" style="213" customWidth="1"/>
    <col min="10765" max="10765" width="10.28515625" style="213" customWidth="1"/>
    <col min="10766" max="10766" width="11" style="213" customWidth="1"/>
    <col min="10767" max="10767" width="12.7109375" style="213" customWidth="1"/>
    <col min="10768" max="11008" width="9" style="213"/>
    <col min="11009" max="11009" width="4.28515625" style="213" customWidth="1"/>
    <col min="11010" max="11010" width="17.28515625" style="213" customWidth="1"/>
    <col min="11011" max="11016" width="9" style="213"/>
    <col min="11017" max="11017" width="7.7109375" style="213" customWidth="1"/>
    <col min="11018" max="11019" width="9" style="213"/>
    <col min="11020" max="11020" width="25" style="213" customWidth="1"/>
    <col min="11021" max="11021" width="10.28515625" style="213" customWidth="1"/>
    <col min="11022" max="11022" width="11" style="213" customWidth="1"/>
    <col min="11023" max="11023" width="12.7109375" style="213" customWidth="1"/>
    <col min="11024" max="11264" width="9" style="213"/>
    <col min="11265" max="11265" width="4.28515625" style="213" customWidth="1"/>
    <col min="11266" max="11266" width="17.28515625" style="213" customWidth="1"/>
    <col min="11267" max="11272" width="9" style="213"/>
    <col min="11273" max="11273" width="7.7109375" style="213" customWidth="1"/>
    <col min="11274" max="11275" width="9" style="213"/>
    <col min="11276" max="11276" width="25" style="213" customWidth="1"/>
    <col min="11277" max="11277" width="10.28515625" style="213" customWidth="1"/>
    <col min="11278" max="11278" width="11" style="213" customWidth="1"/>
    <col min="11279" max="11279" width="12.7109375" style="213" customWidth="1"/>
    <col min="11280" max="11520" width="9" style="213"/>
    <col min="11521" max="11521" width="4.28515625" style="213" customWidth="1"/>
    <col min="11522" max="11522" width="17.28515625" style="213" customWidth="1"/>
    <col min="11523" max="11528" width="9" style="213"/>
    <col min="11529" max="11529" width="7.7109375" style="213" customWidth="1"/>
    <col min="11530" max="11531" width="9" style="213"/>
    <col min="11532" max="11532" width="25" style="213" customWidth="1"/>
    <col min="11533" max="11533" width="10.28515625" style="213" customWidth="1"/>
    <col min="11534" max="11534" width="11" style="213" customWidth="1"/>
    <col min="11535" max="11535" width="12.7109375" style="213" customWidth="1"/>
    <col min="11536" max="11776" width="9" style="213"/>
    <col min="11777" max="11777" width="4.28515625" style="213" customWidth="1"/>
    <col min="11778" max="11778" width="17.28515625" style="213" customWidth="1"/>
    <col min="11779" max="11784" width="9" style="213"/>
    <col min="11785" max="11785" width="7.7109375" style="213" customWidth="1"/>
    <col min="11786" max="11787" width="9" style="213"/>
    <col min="11788" max="11788" width="25" style="213" customWidth="1"/>
    <col min="11789" max="11789" width="10.28515625" style="213" customWidth="1"/>
    <col min="11790" max="11790" width="11" style="213" customWidth="1"/>
    <col min="11791" max="11791" width="12.7109375" style="213" customWidth="1"/>
    <col min="11792" max="12032" width="9" style="213"/>
    <col min="12033" max="12033" width="4.28515625" style="213" customWidth="1"/>
    <col min="12034" max="12034" width="17.28515625" style="213" customWidth="1"/>
    <col min="12035" max="12040" width="9" style="213"/>
    <col min="12041" max="12041" width="7.7109375" style="213" customWidth="1"/>
    <col min="12042" max="12043" width="9" style="213"/>
    <col min="12044" max="12044" width="25" style="213" customWidth="1"/>
    <col min="12045" max="12045" width="10.28515625" style="213" customWidth="1"/>
    <col min="12046" max="12046" width="11" style="213" customWidth="1"/>
    <col min="12047" max="12047" width="12.7109375" style="213" customWidth="1"/>
    <col min="12048" max="12288" width="9" style="213"/>
    <col min="12289" max="12289" width="4.28515625" style="213" customWidth="1"/>
    <col min="12290" max="12290" width="17.28515625" style="213" customWidth="1"/>
    <col min="12291" max="12296" width="9" style="213"/>
    <col min="12297" max="12297" width="7.7109375" style="213" customWidth="1"/>
    <col min="12298" max="12299" width="9" style="213"/>
    <col min="12300" max="12300" width="25" style="213" customWidth="1"/>
    <col min="12301" max="12301" width="10.28515625" style="213" customWidth="1"/>
    <col min="12302" max="12302" width="11" style="213" customWidth="1"/>
    <col min="12303" max="12303" width="12.7109375" style="213" customWidth="1"/>
    <col min="12304" max="12544" width="9" style="213"/>
    <col min="12545" max="12545" width="4.28515625" style="213" customWidth="1"/>
    <col min="12546" max="12546" width="17.28515625" style="213" customWidth="1"/>
    <col min="12547" max="12552" width="9" style="213"/>
    <col min="12553" max="12553" width="7.7109375" style="213" customWidth="1"/>
    <col min="12554" max="12555" width="9" style="213"/>
    <col min="12556" max="12556" width="25" style="213" customWidth="1"/>
    <col min="12557" max="12557" width="10.28515625" style="213" customWidth="1"/>
    <col min="12558" max="12558" width="11" style="213" customWidth="1"/>
    <col min="12559" max="12559" width="12.7109375" style="213" customWidth="1"/>
    <col min="12560" max="12800" width="9" style="213"/>
    <col min="12801" max="12801" width="4.28515625" style="213" customWidth="1"/>
    <col min="12802" max="12802" width="17.28515625" style="213" customWidth="1"/>
    <col min="12803" max="12808" width="9" style="213"/>
    <col min="12809" max="12809" width="7.7109375" style="213" customWidth="1"/>
    <col min="12810" max="12811" width="9" style="213"/>
    <col min="12812" max="12812" width="25" style="213" customWidth="1"/>
    <col min="12813" max="12813" width="10.28515625" style="213" customWidth="1"/>
    <col min="12814" max="12814" width="11" style="213" customWidth="1"/>
    <col min="12815" max="12815" width="12.7109375" style="213" customWidth="1"/>
    <col min="12816" max="13056" width="9" style="213"/>
    <col min="13057" max="13057" width="4.28515625" style="213" customWidth="1"/>
    <col min="13058" max="13058" width="17.28515625" style="213" customWidth="1"/>
    <col min="13059" max="13064" width="9" style="213"/>
    <col min="13065" max="13065" width="7.7109375" style="213" customWidth="1"/>
    <col min="13066" max="13067" width="9" style="213"/>
    <col min="13068" max="13068" width="25" style="213" customWidth="1"/>
    <col min="13069" max="13069" width="10.28515625" style="213" customWidth="1"/>
    <col min="13070" max="13070" width="11" style="213" customWidth="1"/>
    <col min="13071" max="13071" width="12.7109375" style="213" customWidth="1"/>
    <col min="13072" max="13312" width="9" style="213"/>
    <col min="13313" max="13313" width="4.28515625" style="213" customWidth="1"/>
    <col min="13314" max="13314" width="17.28515625" style="213" customWidth="1"/>
    <col min="13315" max="13320" width="9" style="213"/>
    <col min="13321" max="13321" width="7.7109375" style="213" customWidth="1"/>
    <col min="13322" max="13323" width="9" style="213"/>
    <col min="13324" max="13324" width="25" style="213" customWidth="1"/>
    <col min="13325" max="13325" width="10.28515625" style="213" customWidth="1"/>
    <col min="13326" max="13326" width="11" style="213" customWidth="1"/>
    <col min="13327" max="13327" width="12.7109375" style="213" customWidth="1"/>
    <col min="13328" max="13568" width="9" style="213"/>
    <col min="13569" max="13569" width="4.28515625" style="213" customWidth="1"/>
    <col min="13570" max="13570" width="17.28515625" style="213" customWidth="1"/>
    <col min="13571" max="13576" width="9" style="213"/>
    <col min="13577" max="13577" width="7.7109375" style="213" customWidth="1"/>
    <col min="13578" max="13579" width="9" style="213"/>
    <col min="13580" max="13580" width="25" style="213" customWidth="1"/>
    <col min="13581" max="13581" width="10.28515625" style="213" customWidth="1"/>
    <col min="13582" max="13582" width="11" style="213" customWidth="1"/>
    <col min="13583" max="13583" width="12.7109375" style="213" customWidth="1"/>
    <col min="13584" max="13824" width="9" style="213"/>
    <col min="13825" max="13825" width="4.28515625" style="213" customWidth="1"/>
    <col min="13826" max="13826" width="17.28515625" style="213" customWidth="1"/>
    <col min="13827" max="13832" width="9" style="213"/>
    <col min="13833" max="13833" width="7.7109375" style="213" customWidth="1"/>
    <col min="13834" max="13835" width="9" style="213"/>
    <col min="13836" max="13836" width="25" style="213" customWidth="1"/>
    <col min="13837" max="13837" width="10.28515625" style="213" customWidth="1"/>
    <col min="13838" max="13838" width="11" style="213" customWidth="1"/>
    <col min="13839" max="13839" width="12.7109375" style="213" customWidth="1"/>
    <col min="13840" max="14080" width="9" style="213"/>
    <col min="14081" max="14081" width="4.28515625" style="213" customWidth="1"/>
    <col min="14082" max="14082" width="17.28515625" style="213" customWidth="1"/>
    <col min="14083" max="14088" width="9" style="213"/>
    <col min="14089" max="14089" width="7.7109375" style="213" customWidth="1"/>
    <col min="14090" max="14091" width="9" style="213"/>
    <col min="14092" max="14092" width="25" style="213" customWidth="1"/>
    <col min="14093" max="14093" width="10.28515625" style="213" customWidth="1"/>
    <col min="14094" max="14094" width="11" style="213" customWidth="1"/>
    <col min="14095" max="14095" width="12.7109375" style="213" customWidth="1"/>
    <col min="14096" max="14336" width="9" style="213"/>
    <col min="14337" max="14337" width="4.28515625" style="213" customWidth="1"/>
    <col min="14338" max="14338" width="17.28515625" style="213" customWidth="1"/>
    <col min="14339" max="14344" width="9" style="213"/>
    <col min="14345" max="14345" width="7.7109375" style="213" customWidth="1"/>
    <col min="14346" max="14347" width="9" style="213"/>
    <col min="14348" max="14348" width="25" style="213" customWidth="1"/>
    <col min="14349" max="14349" width="10.28515625" style="213" customWidth="1"/>
    <col min="14350" max="14350" width="11" style="213" customWidth="1"/>
    <col min="14351" max="14351" width="12.7109375" style="213" customWidth="1"/>
    <col min="14352" max="14592" width="9" style="213"/>
    <col min="14593" max="14593" width="4.28515625" style="213" customWidth="1"/>
    <col min="14594" max="14594" width="17.28515625" style="213" customWidth="1"/>
    <col min="14595" max="14600" width="9" style="213"/>
    <col min="14601" max="14601" width="7.7109375" style="213" customWidth="1"/>
    <col min="14602" max="14603" width="9" style="213"/>
    <col min="14604" max="14604" width="25" style="213" customWidth="1"/>
    <col min="14605" max="14605" width="10.28515625" style="213" customWidth="1"/>
    <col min="14606" max="14606" width="11" style="213" customWidth="1"/>
    <col min="14607" max="14607" width="12.7109375" style="213" customWidth="1"/>
    <col min="14608" max="14848" width="9" style="213"/>
    <col min="14849" max="14849" width="4.28515625" style="213" customWidth="1"/>
    <col min="14850" max="14850" width="17.28515625" style="213" customWidth="1"/>
    <col min="14851" max="14856" width="9" style="213"/>
    <col min="14857" max="14857" width="7.7109375" style="213" customWidth="1"/>
    <col min="14858" max="14859" width="9" style="213"/>
    <col min="14860" max="14860" width="25" style="213" customWidth="1"/>
    <col min="14861" max="14861" width="10.28515625" style="213" customWidth="1"/>
    <col min="14862" max="14862" width="11" style="213" customWidth="1"/>
    <col min="14863" max="14863" width="12.7109375" style="213" customWidth="1"/>
    <col min="14864" max="15104" width="9" style="213"/>
    <col min="15105" max="15105" width="4.28515625" style="213" customWidth="1"/>
    <col min="15106" max="15106" width="17.28515625" style="213" customWidth="1"/>
    <col min="15107" max="15112" width="9" style="213"/>
    <col min="15113" max="15113" width="7.7109375" style="213" customWidth="1"/>
    <col min="15114" max="15115" width="9" style="213"/>
    <col min="15116" max="15116" width="25" style="213" customWidth="1"/>
    <col min="15117" max="15117" width="10.28515625" style="213" customWidth="1"/>
    <col min="15118" max="15118" width="11" style="213" customWidth="1"/>
    <col min="15119" max="15119" width="12.7109375" style="213" customWidth="1"/>
    <col min="15120" max="15360" width="9" style="213"/>
    <col min="15361" max="15361" width="4.28515625" style="213" customWidth="1"/>
    <col min="15362" max="15362" width="17.28515625" style="213" customWidth="1"/>
    <col min="15363" max="15368" width="9" style="213"/>
    <col min="15369" max="15369" width="7.7109375" style="213" customWidth="1"/>
    <col min="15370" max="15371" width="9" style="213"/>
    <col min="15372" max="15372" width="25" style="213" customWidth="1"/>
    <col min="15373" max="15373" width="10.28515625" style="213" customWidth="1"/>
    <col min="15374" max="15374" width="11" style="213" customWidth="1"/>
    <col min="15375" max="15375" width="12.7109375" style="213" customWidth="1"/>
    <col min="15376" max="15616" width="9" style="213"/>
    <col min="15617" max="15617" width="4.28515625" style="213" customWidth="1"/>
    <col min="15618" max="15618" width="17.28515625" style="213" customWidth="1"/>
    <col min="15619" max="15624" width="9" style="213"/>
    <col min="15625" max="15625" width="7.7109375" style="213" customWidth="1"/>
    <col min="15626" max="15627" width="9" style="213"/>
    <col min="15628" max="15628" width="25" style="213" customWidth="1"/>
    <col min="15629" max="15629" width="10.28515625" style="213" customWidth="1"/>
    <col min="15630" max="15630" width="11" style="213" customWidth="1"/>
    <col min="15631" max="15631" width="12.7109375" style="213" customWidth="1"/>
    <col min="15632" max="15872" width="9" style="213"/>
    <col min="15873" max="15873" width="4.28515625" style="213" customWidth="1"/>
    <col min="15874" max="15874" width="17.28515625" style="213" customWidth="1"/>
    <col min="15875" max="15880" width="9" style="213"/>
    <col min="15881" max="15881" width="7.7109375" style="213" customWidth="1"/>
    <col min="15882" max="15883" width="9" style="213"/>
    <col min="15884" max="15884" width="25" style="213" customWidth="1"/>
    <col min="15885" max="15885" width="10.28515625" style="213" customWidth="1"/>
    <col min="15886" max="15886" width="11" style="213" customWidth="1"/>
    <col min="15887" max="15887" width="12.7109375" style="213" customWidth="1"/>
    <col min="15888" max="16128" width="9" style="213"/>
    <col min="16129" max="16129" width="4.28515625" style="213" customWidth="1"/>
    <col min="16130" max="16130" width="17.28515625" style="213" customWidth="1"/>
    <col min="16131" max="16136" width="9" style="213"/>
    <col min="16137" max="16137" width="7.7109375" style="213" customWidth="1"/>
    <col min="16138" max="16139" width="9" style="213"/>
    <col min="16140" max="16140" width="25" style="213" customWidth="1"/>
    <col min="16141" max="16141" width="10.28515625" style="213" customWidth="1"/>
    <col min="16142" max="16142" width="11" style="213" customWidth="1"/>
    <col min="16143" max="16143" width="12.7109375" style="213" customWidth="1"/>
    <col min="16144" max="16384" width="9" style="213"/>
  </cols>
  <sheetData>
    <row r="1" spans="1:15" x14ac:dyDescent="0.2">
      <c r="A1" s="673" t="s">
        <v>606</v>
      </c>
      <c r="B1" s="673"/>
      <c r="C1" s="673"/>
      <c r="D1" s="673"/>
      <c r="E1" s="673"/>
      <c r="F1" s="673"/>
      <c r="G1" s="673"/>
      <c r="H1" s="673"/>
      <c r="I1" s="673"/>
      <c r="L1" s="670" t="s">
        <v>306</v>
      </c>
      <c r="M1" s="670"/>
      <c r="N1" s="670"/>
      <c r="O1" s="670"/>
    </row>
    <row r="2" spans="1:15" x14ac:dyDescent="0.2">
      <c r="A2" s="666" t="s">
        <v>605</v>
      </c>
      <c r="B2" s="666"/>
      <c r="C2" s="666"/>
      <c r="D2" s="666"/>
      <c r="E2" s="666"/>
      <c r="F2" s="666"/>
      <c r="G2" s="666"/>
      <c r="H2" s="666"/>
      <c r="I2" s="666"/>
      <c r="L2" s="665" t="s">
        <v>307</v>
      </c>
      <c r="M2" s="665"/>
      <c r="N2" s="665"/>
      <c r="O2" s="665"/>
    </row>
    <row r="3" spans="1:15" x14ac:dyDescent="0.2">
      <c r="A3" s="666" t="s">
        <v>609</v>
      </c>
      <c r="B3" s="666"/>
      <c r="C3" s="666"/>
      <c r="D3" s="666"/>
      <c r="E3" s="666"/>
      <c r="F3" s="666"/>
      <c r="G3" s="666"/>
      <c r="H3" s="666"/>
      <c r="I3" s="666"/>
      <c r="L3" s="671" t="str">
        <f>A4</f>
        <v>TAHUN 2025</v>
      </c>
      <c r="M3" s="671"/>
      <c r="N3" s="671"/>
      <c r="O3" s="671"/>
    </row>
    <row r="4" spans="1:15" x14ac:dyDescent="0.2">
      <c r="A4" s="666" t="str">
        <f>Produksi!A3</f>
        <v>TAHUN 2025</v>
      </c>
      <c r="B4" s="666"/>
      <c r="C4" s="666"/>
      <c r="D4" s="666"/>
      <c r="E4" s="666"/>
      <c r="F4" s="666"/>
      <c r="G4" s="666"/>
      <c r="H4" s="666"/>
      <c r="I4" s="666"/>
      <c r="L4" s="667" t="s">
        <v>308</v>
      </c>
      <c r="M4" s="514" t="s">
        <v>617</v>
      </c>
      <c r="N4" s="514" t="s">
        <v>618</v>
      </c>
      <c r="O4" s="514" t="s">
        <v>613</v>
      </c>
    </row>
    <row r="5" spans="1:15" ht="24" x14ac:dyDescent="0.2">
      <c r="A5" s="483" t="s">
        <v>327</v>
      </c>
      <c r="B5" s="484" t="s">
        <v>328</v>
      </c>
      <c r="C5" s="484" t="s">
        <v>329</v>
      </c>
      <c r="D5" s="484" t="s">
        <v>330</v>
      </c>
      <c r="E5" s="484" t="s">
        <v>331</v>
      </c>
      <c r="F5" s="484" t="s">
        <v>332</v>
      </c>
      <c r="G5" s="507" t="s">
        <v>333</v>
      </c>
      <c r="H5" s="484" t="s">
        <v>334</v>
      </c>
      <c r="I5" s="484" t="s">
        <v>335</v>
      </c>
      <c r="L5" s="668"/>
      <c r="M5" s="515" t="s">
        <v>610</v>
      </c>
      <c r="N5" s="515" t="s">
        <v>612</v>
      </c>
      <c r="O5" s="515" t="s">
        <v>612</v>
      </c>
    </row>
    <row r="6" spans="1:15" x14ac:dyDescent="0.2">
      <c r="A6" s="485"/>
      <c r="B6" s="486" t="s">
        <v>336</v>
      </c>
      <c r="C6" s="486" t="s">
        <v>337</v>
      </c>
      <c r="D6" s="486"/>
      <c r="E6" s="486"/>
      <c r="F6" s="486"/>
      <c r="G6" s="508"/>
      <c r="H6" s="486"/>
      <c r="I6" s="486"/>
      <c r="L6" s="516" t="s">
        <v>312</v>
      </c>
      <c r="M6" s="516" t="s">
        <v>313</v>
      </c>
      <c r="N6" s="516" t="s">
        <v>314</v>
      </c>
      <c r="O6" s="516" t="s">
        <v>315</v>
      </c>
    </row>
    <row r="7" spans="1:15" ht="13.15" customHeight="1" x14ac:dyDescent="0.2">
      <c r="A7" s="487" t="s">
        <v>338</v>
      </c>
      <c r="B7" s="487" t="s">
        <v>316</v>
      </c>
      <c r="C7" s="488">
        <f>'Tabel NBM REVISI'!$Q$12</f>
        <v>905.92834762249072</v>
      </c>
      <c r="D7" s="489">
        <f>(C7/2400)*100</f>
        <v>37.747014484270444</v>
      </c>
      <c r="E7" s="489">
        <v>0.5</v>
      </c>
      <c r="F7" s="490">
        <f>D7*E7</f>
        <v>18.873507242135222</v>
      </c>
      <c r="G7" s="511">
        <f>IF(F7&gt;=H7,H7,F7)</f>
        <v>18.873507242135222</v>
      </c>
      <c r="H7" s="489">
        <v>25</v>
      </c>
      <c r="I7" s="491"/>
      <c r="L7" s="517"/>
      <c r="M7" s="518"/>
      <c r="N7" s="518"/>
      <c r="O7" s="518"/>
    </row>
    <row r="8" spans="1:15" x14ac:dyDescent="0.2">
      <c r="A8" s="487" t="s">
        <v>339</v>
      </c>
      <c r="B8" s="487" t="s">
        <v>340</v>
      </c>
      <c r="C8" s="488">
        <f>'Tabel NBM REVISI'!$Q$18+'Tabel NBM REVISI'!$Q$84</f>
        <v>21.650410472399798</v>
      </c>
      <c r="D8" s="489">
        <f t="shared" ref="D8:D15" si="0">(C8/2400)*100</f>
        <v>0.90210043634999171</v>
      </c>
      <c r="E8" s="489">
        <v>0.5</v>
      </c>
      <c r="F8" s="490">
        <f t="shared" ref="F8:F14" si="1">D8*E8</f>
        <v>0.45105021817499585</v>
      </c>
      <c r="G8" s="511">
        <f t="shared" ref="G8:G14" si="2">IF(F8&gt;=H8,H8,F8)</f>
        <v>0.45105021817499585</v>
      </c>
      <c r="H8" s="489">
        <v>2.5</v>
      </c>
      <c r="I8" s="491"/>
      <c r="L8" s="518" t="s">
        <v>316</v>
      </c>
      <c r="M8" s="519">
        <f>'Tabel NBM REVISI'!Q12</f>
        <v>905.92834762249072</v>
      </c>
      <c r="N8" s="519">
        <f>'Tabel NBM REVISI'!R12</f>
        <v>21.562939505404316</v>
      </c>
      <c r="O8" s="519">
        <f>'Tabel NBM REVISI'!S12</f>
        <v>5.0466765720898774</v>
      </c>
    </row>
    <row r="9" spans="1:15" x14ac:dyDescent="0.2">
      <c r="A9" s="487" t="s">
        <v>341</v>
      </c>
      <c r="B9" s="487" t="s">
        <v>342</v>
      </c>
      <c r="C9" s="488">
        <f>'Tabel NBM REVISI'!$Q$112+'Tabel NBM REVISI'!$Q$125+'Tabel NBM REVISI'!$Q$131+'Tabel NBM REVISI'!$Q$135-'Tabel NBM REVISI'!$Q$157-'Tabel NBM REVISI'!$Q$123</f>
        <v>586.16113118060639</v>
      </c>
      <c r="D9" s="489">
        <f>(C9/2400)*100</f>
        <v>24.4233804658586</v>
      </c>
      <c r="E9" s="489">
        <v>2</v>
      </c>
      <c r="F9" s="490">
        <f t="shared" si="1"/>
        <v>48.846760931717199</v>
      </c>
      <c r="G9" s="511">
        <f t="shared" si="2"/>
        <v>24</v>
      </c>
      <c r="H9" s="489">
        <v>24</v>
      </c>
      <c r="I9" s="491"/>
      <c r="L9" s="518" t="s">
        <v>317</v>
      </c>
      <c r="M9" s="519">
        <f>'Tabel NBM REVISI'!Q18</f>
        <v>13.318154516031345</v>
      </c>
      <c r="N9" s="519">
        <f>'Tabel NBM REVISI'!R18</f>
        <v>8.6481522831372379E-2</v>
      </c>
      <c r="O9" s="519">
        <f>'Tabel NBM REVISI'!S18</f>
        <v>2.5944456849411712E-2</v>
      </c>
    </row>
    <row r="10" spans="1:15" x14ac:dyDescent="0.2">
      <c r="A10" s="487" t="s">
        <v>343</v>
      </c>
      <c r="B10" s="487" t="s">
        <v>326</v>
      </c>
      <c r="C10" s="488">
        <f>'Tabel NBM REVISI'!$Q$123+'Tabel NBM REVISI'!$Q$172</f>
        <v>603.31573268299064</v>
      </c>
      <c r="D10" s="489">
        <f t="shared" si="0"/>
        <v>25.138155528457943</v>
      </c>
      <c r="E10" s="489">
        <v>0.5</v>
      </c>
      <c r="F10" s="490">
        <f t="shared" si="1"/>
        <v>12.569077764228972</v>
      </c>
      <c r="G10" s="511">
        <f t="shared" si="2"/>
        <v>5</v>
      </c>
      <c r="H10" s="489">
        <v>5</v>
      </c>
      <c r="I10" s="491"/>
      <c r="L10" s="518" t="s">
        <v>318</v>
      </c>
      <c r="M10" s="519">
        <f>'Tabel NBM REVISI'!Q24</f>
        <v>112.11010238981341</v>
      </c>
      <c r="N10" s="519">
        <f>'Tabel NBM REVISI'!R24</f>
        <v>0</v>
      </c>
      <c r="O10" s="519">
        <f>'Tabel NBM REVISI'!S24</f>
        <v>0</v>
      </c>
    </row>
    <row r="11" spans="1:15" x14ac:dyDescent="0.2">
      <c r="A11" s="487" t="s">
        <v>345</v>
      </c>
      <c r="B11" s="487" t="s">
        <v>346</v>
      </c>
      <c r="C11" s="488">
        <f>'Tabel NBM REVISI'!$Q$33</f>
        <v>0</v>
      </c>
      <c r="D11" s="489">
        <f t="shared" si="0"/>
        <v>0</v>
      </c>
      <c r="E11" s="489">
        <v>0.5</v>
      </c>
      <c r="F11" s="490">
        <f t="shared" si="1"/>
        <v>0</v>
      </c>
      <c r="G11" s="511">
        <f t="shared" si="2"/>
        <v>0</v>
      </c>
      <c r="H11" s="489">
        <v>1</v>
      </c>
      <c r="I11" s="491"/>
      <c r="L11" s="518" t="s">
        <v>319</v>
      </c>
      <c r="M11" s="519">
        <f>'Tabel NBM REVISI'!Q29</f>
        <v>67.687084737046533</v>
      </c>
      <c r="N11" s="519">
        <f>'Tabel NBM REVISI'!R29</f>
        <v>7.1540803103855986</v>
      </c>
      <c r="O11" s="519">
        <f>'Tabel NBM REVISI'!S29</f>
        <v>2.9817919096008012</v>
      </c>
    </row>
    <row r="12" spans="1:15" x14ac:dyDescent="0.2">
      <c r="A12" s="487" t="s">
        <v>348</v>
      </c>
      <c r="B12" s="487" t="s">
        <v>349</v>
      </c>
      <c r="C12" s="488">
        <f>'Tabel NBM REVISI'!$Q$29-'Tabel NBM REVISI'!$Q$33+'Tabel NBM REVISI'!$Q$82</f>
        <v>71.351939801448395</v>
      </c>
      <c r="D12" s="489">
        <f t="shared" si="0"/>
        <v>2.9729974917270163</v>
      </c>
      <c r="E12" s="489">
        <v>2</v>
      </c>
      <c r="F12" s="490">
        <f t="shared" si="1"/>
        <v>5.9459949834540327</v>
      </c>
      <c r="G12" s="511">
        <f t="shared" si="2"/>
        <v>5.9459949834540327</v>
      </c>
      <c r="H12" s="489">
        <v>10</v>
      </c>
      <c r="I12" s="491"/>
      <c r="L12" s="518" t="s">
        <v>320</v>
      </c>
      <c r="M12" s="519">
        <f>'Tabel NBM REVISI'!Q35</f>
        <v>77.705698996641146</v>
      </c>
      <c r="N12" s="519">
        <f>'Tabel NBM REVISI'!R35</f>
        <v>1.1021330266155132</v>
      </c>
      <c r="O12" s="519">
        <f>'Tabel NBM REVISI'!S35</f>
        <v>0.72488447871953943</v>
      </c>
    </row>
    <row r="13" spans="1:15" x14ac:dyDescent="0.2">
      <c r="A13" s="487" t="s">
        <v>350</v>
      </c>
      <c r="B13" s="487" t="s">
        <v>318</v>
      </c>
      <c r="C13" s="488">
        <f>'Tabel NBM REVISI'!$Q$24</f>
        <v>112.11010238981341</v>
      </c>
      <c r="D13" s="489">
        <f t="shared" si="0"/>
        <v>4.671254266242225</v>
      </c>
      <c r="E13" s="489">
        <v>0.5</v>
      </c>
      <c r="F13" s="490">
        <f t="shared" si="1"/>
        <v>2.3356271331211125</v>
      </c>
      <c r="G13" s="511">
        <f t="shared" si="2"/>
        <v>2.3356271331211125</v>
      </c>
      <c r="H13" s="489">
        <v>2.5</v>
      </c>
      <c r="I13" s="491"/>
      <c r="L13" s="518" t="s">
        <v>321</v>
      </c>
      <c r="M13" s="519">
        <f>'Tabel NBM REVISI'!Q77</f>
        <v>56.333627526766335</v>
      </c>
      <c r="N13" s="519">
        <f>'Tabel NBM REVISI'!R77</f>
        <v>2.5213572524429226</v>
      </c>
      <c r="O13" s="519">
        <f>'Tabel NBM REVISI'!S77</f>
        <v>0.54068180694563062</v>
      </c>
    </row>
    <row r="14" spans="1:15" x14ac:dyDescent="0.2">
      <c r="A14" s="487" t="s">
        <v>351</v>
      </c>
      <c r="B14" s="487" t="s">
        <v>352</v>
      </c>
      <c r="C14" s="488">
        <f>'Tabel NBM REVISI'!$Q$35+'Tabel NBM REVISI'!$Q$77-'Tabel NBM REVISI'!$Q$84-'Tabel NBM REVISI'!$Q$82+'Tabel NBM REVISI'!$Q$157</f>
        <v>122.04221550263716</v>
      </c>
      <c r="D14" s="489">
        <f t="shared" si="0"/>
        <v>5.0850923126098815</v>
      </c>
      <c r="E14" s="489">
        <v>5</v>
      </c>
      <c r="F14" s="490">
        <f t="shared" si="1"/>
        <v>25.425461563049407</v>
      </c>
      <c r="G14" s="511">
        <f t="shared" si="2"/>
        <v>25.425461563049407</v>
      </c>
      <c r="H14" s="489">
        <v>30</v>
      </c>
      <c r="I14" s="491"/>
      <c r="L14" s="518" t="s">
        <v>322</v>
      </c>
      <c r="M14" s="519">
        <f>'Tabel NBM REVISI'!Q112</f>
        <v>260.41194716837475</v>
      </c>
      <c r="N14" s="519">
        <f>'Tabel NBM REVISI'!R112</f>
        <v>17.975352711075583</v>
      </c>
      <c r="O14" s="519">
        <f>'Tabel NBM REVISI'!S112</f>
        <v>20.404220209519895</v>
      </c>
    </row>
    <row r="15" spans="1:15" x14ac:dyDescent="0.2">
      <c r="A15" s="487" t="s">
        <v>353</v>
      </c>
      <c r="B15" s="487" t="s">
        <v>354</v>
      </c>
      <c r="C15" s="488"/>
      <c r="D15" s="489">
        <f t="shared" si="0"/>
        <v>0</v>
      </c>
      <c r="E15" s="489">
        <v>0</v>
      </c>
      <c r="F15" s="490">
        <f>D15*E15</f>
        <v>0</v>
      </c>
      <c r="G15" s="511">
        <f>IF(F15&gt;=H15,H15,F15)</f>
        <v>0</v>
      </c>
      <c r="H15" s="489">
        <v>0</v>
      </c>
      <c r="I15" s="492"/>
      <c r="L15" s="518" t="s">
        <v>323</v>
      </c>
      <c r="M15" s="519">
        <f>'Tabel NBM REVISI'!Q125</f>
        <v>101.82210300613227</v>
      </c>
      <c r="N15" s="519">
        <f>'Tabel NBM REVISI'!R125</f>
        <v>7.9898494153088757</v>
      </c>
      <c r="O15" s="519">
        <f>'Tabel NBM REVISI'!S125</f>
        <v>7.2423273186790071</v>
      </c>
    </row>
    <row r="16" spans="1:15" x14ac:dyDescent="0.2">
      <c r="A16" s="487"/>
      <c r="B16" s="487" t="s">
        <v>355</v>
      </c>
      <c r="C16" s="488">
        <f>SUM(C7:C15)</f>
        <v>2422.5598796523864</v>
      </c>
      <c r="D16" s="493">
        <f>SUM(D7:D15)</f>
        <v>100.93999498551611</v>
      </c>
      <c r="E16" s="494"/>
      <c r="F16" s="490">
        <f>SUM(F7:F15)</f>
        <v>114.44747983588094</v>
      </c>
      <c r="G16" s="512">
        <f>SUM(G7:G15)</f>
        <v>82.031641139934777</v>
      </c>
      <c r="H16" s="495">
        <f>SUM(H7:H15)</f>
        <v>100</v>
      </c>
      <c r="I16" s="495"/>
      <c r="L16" s="518" t="s">
        <v>324</v>
      </c>
      <c r="M16" s="519">
        <f>'Tabel NBM REVISI'!Q131</f>
        <v>0</v>
      </c>
      <c r="N16" s="519">
        <f>'Tabel NBM REVISI'!R131</f>
        <v>0</v>
      </c>
      <c r="O16" s="519">
        <f>'Tabel NBM REVISI'!S131</f>
        <v>0</v>
      </c>
    </row>
    <row r="17" spans="1:15" ht="15" x14ac:dyDescent="0.25">
      <c r="A17" s="496"/>
      <c r="B17" s="497" t="s">
        <v>604</v>
      </c>
      <c r="C17" s="496"/>
      <c r="D17" s="496"/>
      <c r="E17" s="496"/>
      <c r="F17" s="496"/>
      <c r="G17" s="496"/>
      <c r="H17" s="496"/>
      <c r="I17" s="496"/>
      <c r="L17" s="518" t="s">
        <v>325</v>
      </c>
      <c r="M17" s="519">
        <f>'Tabel NBM REVISI'!Q135</f>
        <v>235.76393380501577</v>
      </c>
      <c r="N17" s="519">
        <f>'Tabel NBM REVISI'!R135</f>
        <v>43.518385535625299</v>
      </c>
      <c r="O17" s="519">
        <f>'Tabel NBM REVISI'!S135</f>
        <v>4.735188841393021</v>
      </c>
    </row>
    <row r="18" spans="1:15" ht="15" x14ac:dyDescent="0.25">
      <c r="A18" s="496"/>
      <c r="B18" s="663" t="s">
        <v>614</v>
      </c>
      <c r="C18" s="663"/>
      <c r="D18" s="663"/>
      <c r="E18" s="663"/>
      <c r="F18" s="663"/>
      <c r="G18" s="663"/>
      <c r="H18" s="663"/>
      <c r="I18" s="663"/>
      <c r="L18" s="518" t="s">
        <v>326</v>
      </c>
      <c r="M18" s="519">
        <f>'Tabel NBM REVISI'!Q172</f>
        <v>591.47887988407422</v>
      </c>
      <c r="N18" s="519">
        <f>'Tabel NBM REVISI'!R172</f>
        <v>3.0888721399752184E-2</v>
      </c>
      <c r="O18" s="519">
        <f>'Tabel NBM REVISI'!S172</f>
        <v>31.476928292138716</v>
      </c>
    </row>
    <row r="19" spans="1:15" ht="15" x14ac:dyDescent="0.25">
      <c r="A19" s="496"/>
      <c r="B19" s="663"/>
      <c r="C19" s="663"/>
      <c r="D19" s="663"/>
      <c r="E19" s="663"/>
      <c r="F19" s="663"/>
      <c r="G19" s="663"/>
      <c r="H19" s="663"/>
      <c r="I19" s="663"/>
      <c r="L19" s="520"/>
      <c r="M19" s="520"/>
      <c r="N19" s="521"/>
      <c r="O19" s="521"/>
    </row>
    <row r="20" spans="1:15" ht="15.75" thickBot="1" x14ac:dyDescent="0.3">
      <c r="A20" s="498"/>
      <c r="B20" s="498"/>
      <c r="C20" s="498"/>
      <c r="D20" s="498"/>
      <c r="E20" s="498"/>
      <c r="F20" s="498"/>
      <c r="G20" s="498"/>
      <c r="H20" s="498"/>
      <c r="I20" s="498"/>
      <c r="L20" s="522" t="s">
        <v>300</v>
      </c>
      <c r="M20" s="523">
        <f>SUM(M8:M18)</f>
        <v>2422.5598796523864</v>
      </c>
      <c r="N20" s="523">
        <f t="shared" ref="N20:O20" si="3">SUM(N8:N18)</f>
        <v>101.94146800108922</v>
      </c>
      <c r="O20" s="523">
        <f t="shared" si="3"/>
        <v>73.178643885935898</v>
      </c>
    </row>
    <row r="21" spans="1:15" x14ac:dyDescent="0.2">
      <c r="A21" s="673" t="s">
        <v>607</v>
      </c>
      <c r="B21" s="673"/>
      <c r="C21" s="673"/>
      <c r="D21" s="673"/>
      <c r="E21" s="673"/>
      <c r="F21" s="673"/>
      <c r="G21" s="673"/>
      <c r="H21" s="673"/>
      <c r="I21" s="673"/>
      <c r="L21" s="522" t="s">
        <v>302</v>
      </c>
      <c r="M21" s="523">
        <f>'Tabel NBM'!Q190</f>
        <v>1807.7172462695321</v>
      </c>
      <c r="N21" s="523">
        <f>'Tabel NBM'!R190</f>
        <v>32.426991617679718</v>
      </c>
      <c r="O21" s="523">
        <f>'Tabel NBM'!S190</f>
        <v>38.943584232358837</v>
      </c>
    </row>
    <row r="22" spans="1:15" x14ac:dyDescent="0.2">
      <c r="A22" s="666" t="s">
        <v>605</v>
      </c>
      <c r="B22" s="666"/>
      <c r="C22" s="666"/>
      <c r="D22" s="666"/>
      <c r="E22" s="666"/>
      <c r="F22" s="666"/>
      <c r="G22" s="666"/>
      <c r="H22" s="666"/>
      <c r="I22" s="666"/>
      <c r="L22" s="522" t="s">
        <v>303</v>
      </c>
      <c r="M22" s="523">
        <f>'Tabel NBM'!Q192</f>
        <v>614.84263338285427</v>
      </c>
      <c r="N22" s="523">
        <f>'Tabel NBM'!R192</f>
        <v>69.514476383409516</v>
      </c>
      <c r="O22" s="523">
        <f>'Tabel NBM'!S192</f>
        <v>34.235059653577046</v>
      </c>
    </row>
    <row r="23" spans="1:15" x14ac:dyDescent="0.2">
      <c r="A23" s="666" t="s">
        <v>609</v>
      </c>
      <c r="B23" s="666"/>
      <c r="C23" s="666"/>
      <c r="D23" s="666"/>
      <c r="E23" s="666"/>
      <c r="F23" s="666"/>
      <c r="G23" s="666"/>
      <c r="H23" s="666"/>
      <c r="I23" s="666"/>
      <c r="L23" s="520"/>
      <c r="M23" s="520"/>
      <c r="N23" s="520"/>
      <c r="O23" s="520"/>
    </row>
    <row r="24" spans="1:15" x14ac:dyDescent="0.2">
      <c r="A24" s="666" t="str">
        <f>Produksi!A3</f>
        <v>TAHUN 2025</v>
      </c>
      <c r="B24" s="666"/>
      <c r="C24" s="666"/>
      <c r="D24" s="666"/>
      <c r="E24" s="666"/>
      <c r="F24" s="666"/>
      <c r="G24" s="666"/>
      <c r="H24" s="666"/>
      <c r="I24" s="666"/>
      <c r="L24" s="524" t="s">
        <v>602</v>
      </c>
      <c r="M24" s="523">
        <f>M20/2400</f>
        <v>1.0093999498551609</v>
      </c>
      <c r="N24" s="523">
        <f>N20/63</f>
        <v>1.618118539699829</v>
      </c>
      <c r="O24" s="520"/>
    </row>
    <row r="25" spans="1:15" x14ac:dyDescent="0.2">
      <c r="A25" s="483" t="s">
        <v>327</v>
      </c>
      <c r="B25" s="484" t="s">
        <v>328</v>
      </c>
      <c r="C25" s="484" t="s">
        <v>329</v>
      </c>
      <c r="D25" s="484" t="s">
        <v>330</v>
      </c>
      <c r="E25" s="484" t="s">
        <v>331</v>
      </c>
      <c r="F25" s="484" t="s">
        <v>332</v>
      </c>
      <c r="G25" s="507" t="s">
        <v>333</v>
      </c>
      <c r="H25" s="484" t="s">
        <v>334</v>
      </c>
      <c r="I25" s="484" t="s">
        <v>335</v>
      </c>
      <c r="L25" s="520" t="s">
        <v>356</v>
      </c>
      <c r="M25" s="520"/>
      <c r="N25" s="520"/>
      <c r="O25" s="520"/>
    </row>
    <row r="26" spans="1:15" x14ac:dyDescent="0.2">
      <c r="A26" s="485"/>
      <c r="B26" s="486" t="s">
        <v>336</v>
      </c>
      <c r="C26" s="486" t="s">
        <v>337</v>
      </c>
      <c r="D26" s="486"/>
      <c r="E26" s="486"/>
      <c r="F26" s="486"/>
      <c r="G26" s="508"/>
      <c r="H26" s="486"/>
      <c r="I26" s="486"/>
      <c r="L26" s="520" t="s">
        <v>601</v>
      </c>
      <c r="M26" s="520"/>
      <c r="N26" s="520"/>
      <c r="O26" s="500"/>
    </row>
    <row r="27" spans="1:15" x14ac:dyDescent="0.2">
      <c r="A27" s="487" t="s">
        <v>338</v>
      </c>
      <c r="B27" s="487" t="s">
        <v>316</v>
      </c>
      <c r="C27" s="488">
        <f>'Tabel NBM REVISI'!$Q$12</f>
        <v>905.92834762249072</v>
      </c>
      <c r="D27" s="489">
        <f>(C27/2400)*100</f>
        <v>37.747014484270444</v>
      </c>
      <c r="E27" s="489">
        <v>0.5</v>
      </c>
      <c r="F27" s="490">
        <f>D27*E27</f>
        <v>18.873507242135222</v>
      </c>
      <c r="G27" s="511">
        <f>IF(F27&gt;=H27,H27,F27)</f>
        <v>18.873507242135222</v>
      </c>
      <c r="H27" s="504">
        <v>24</v>
      </c>
      <c r="I27" s="491"/>
      <c r="L27" s="520" t="s">
        <v>603</v>
      </c>
      <c r="M27" s="525"/>
      <c r="N27" s="525"/>
      <c r="O27" s="500"/>
    </row>
    <row r="28" spans="1:15" x14ac:dyDescent="0.2">
      <c r="A28" s="487" t="s">
        <v>339</v>
      </c>
      <c r="B28" s="487" t="s">
        <v>340</v>
      </c>
      <c r="C28" s="488">
        <f>'Tabel NBM REVISI'!$Q$18+'Tabel NBM REVISI'!$Q$84</f>
        <v>21.650410472399798</v>
      </c>
      <c r="D28" s="489">
        <f t="shared" ref="D28" si="4">(C28/2400)*100</f>
        <v>0.90210043634999171</v>
      </c>
      <c r="E28" s="489">
        <v>0.5</v>
      </c>
      <c r="F28" s="490">
        <f t="shared" ref="F28:F34" si="5">D28*E28</f>
        <v>0.45105021817499585</v>
      </c>
      <c r="G28" s="511">
        <f t="shared" ref="G28:G34" si="6">IF(F28&gt;=H28,H28,F28)</f>
        <v>0.45105021817499585</v>
      </c>
      <c r="H28" s="504">
        <v>3.5</v>
      </c>
      <c r="I28" s="491"/>
    </row>
    <row r="29" spans="1:15" x14ac:dyDescent="0.2">
      <c r="A29" s="487" t="s">
        <v>341</v>
      </c>
      <c r="B29" s="487" t="s">
        <v>342</v>
      </c>
      <c r="C29" s="488">
        <f>'Tabel NBM REVISI'!$Q$112+'Tabel NBM REVISI'!$Q$125+'Tabel NBM REVISI'!$Q$131+'Tabel NBM REVISI'!$Q$135-'Tabel NBM REVISI'!$Q$157-'Tabel NBM REVISI'!$Q$123</f>
        <v>586.16113118060639</v>
      </c>
      <c r="D29" s="489">
        <f>(C29/2400)*100</f>
        <v>24.4233804658586</v>
      </c>
      <c r="E29" s="489">
        <v>2</v>
      </c>
      <c r="F29" s="490">
        <f t="shared" si="5"/>
        <v>48.846760931717199</v>
      </c>
      <c r="G29" s="511">
        <f t="shared" si="6"/>
        <v>24</v>
      </c>
      <c r="H29" s="505">
        <v>24</v>
      </c>
      <c r="I29" s="491"/>
    </row>
    <row r="30" spans="1:15" ht="15" x14ac:dyDescent="0.25">
      <c r="A30" s="487" t="s">
        <v>343</v>
      </c>
      <c r="B30" s="487" t="s">
        <v>326</v>
      </c>
      <c r="C30" s="488">
        <f>'Tabel NBM REVISI'!$Q$123+'Tabel NBM REVISI'!$Q$172</f>
        <v>603.31573268299064</v>
      </c>
      <c r="D30" s="489">
        <f t="shared" ref="D30:D35" si="7">(C30/2400)*100</f>
        <v>25.138155528457943</v>
      </c>
      <c r="E30" s="489">
        <v>0.5</v>
      </c>
      <c r="F30" s="490">
        <f t="shared" si="5"/>
        <v>12.569077764228972</v>
      </c>
      <c r="G30" s="511">
        <f t="shared" si="6"/>
        <v>5</v>
      </c>
      <c r="H30" s="505">
        <v>5</v>
      </c>
      <c r="I30" s="491"/>
      <c r="K30"/>
      <c r="L30"/>
      <c r="M30"/>
      <c r="N30"/>
      <c r="O30"/>
    </row>
    <row r="31" spans="1:15" ht="15" x14ac:dyDescent="0.25">
      <c r="A31" s="487" t="s">
        <v>345</v>
      </c>
      <c r="B31" s="487" t="s">
        <v>346</v>
      </c>
      <c r="C31" s="488">
        <f>'Tabel NBM REVISI'!$Q$33</f>
        <v>0</v>
      </c>
      <c r="D31" s="489">
        <f t="shared" si="7"/>
        <v>0</v>
      </c>
      <c r="E31" s="489">
        <v>0.5</v>
      </c>
      <c r="F31" s="490">
        <f t="shared" si="5"/>
        <v>0</v>
      </c>
      <c r="G31" s="511">
        <f t="shared" si="6"/>
        <v>0</v>
      </c>
      <c r="H31" s="505">
        <v>1</v>
      </c>
      <c r="I31" s="491"/>
      <c r="K31"/>
      <c r="L31"/>
      <c r="M31"/>
      <c r="N31"/>
      <c r="O31"/>
    </row>
    <row r="32" spans="1:15" ht="15" x14ac:dyDescent="0.25">
      <c r="A32" s="487" t="s">
        <v>348</v>
      </c>
      <c r="B32" s="487" t="s">
        <v>349</v>
      </c>
      <c r="C32" s="488">
        <f>'Tabel NBM REVISI'!$Q$29-'Tabel NBM REVISI'!$Q$33+'Tabel NBM REVISI'!$Q$82</f>
        <v>71.351939801448395</v>
      </c>
      <c r="D32" s="489">
        <f t="shared" si="7"/>
        <v>2.9729974917270163</v>
      </c>
      <c r="E32" s="489">
        <v>2</v>
      </c>
      <c r="F32" s="490">
        <f t="shared" si="5"/>
        <v>5.9459949834540327</v>
      </c>
      <c r="G32" s="511">
        <f t="shared" si="6"/>
        <v>5.9459949834540327</v>
      </c>
      <c r="H32" s="505">
        <v>10</v>
      </c>
      <c r="I32" s="491"/>
      <c r="K32"/>
      <c r="L32"/>
      <c r="M32"/>
      <c r="N32"/>
      <c r="O32"/>
    </row>
    <row r="33" spans="1:15" ht="15" x14ac:dyDescent="0.25">
      <c r="A33" s="487" t="s">
        <v>350</v>
      </c>
      <c r="B33" s="487" t="s">
        <v>318</v>
      </c>
      <c r="C33" s="488">
        <f>'Tabel NBM REVISI'!$Q$24</f>
        <v>112.11010238981341</v>
      </c>
      <c r="D33" s="489">
        <f t="shared" si="7"/>
        <v>4.671254266242225</v>
      </c>
      <c r="E33" s="489">
        <v>0.5</v>
      </c>
      <c r="F33" s="490">
        <f t="shared" si="5"/>
        <v>2.3356271331211125</v>
      </c>
      <c r="G33" s="511">
        <f t="shared" si="6"/>
        <v>2.3356271331211125</v>
      </c>
      <c r="H33" s="505">
        <v>2.5</v>
      </c>
      <c r="I33" s="491"/>
      <c r="K33"/>
      <c r="L33"/>
      <c r="M33"/>
      <c r="N33"/>
      <c r="O33"/>
    </row>
    <row r="34" spans="1:15" ht="15" x14ac:dyDescent="0.25">
      <c r="A34" s="487" t="s">
        <v>351</v>
      </c>
      <c r="B34" s="487" t="s">
        <v>352</v>
      </c>
      <c r="C34" s="488">
        <f>'Tabel NBM REVISI'!$Q$35+'Tabel NBM REVISI'!$Q$77-'Tabel NBM REVISI'!$Q$84-'Tabel NBM REVISI'!$Q$82+'Tabel NBM REVISI'!$Q$157</f>
        <v>122.04221550263716</v>
      </c>
      <c r="D34" s="489">
        <f t="shared" si="7"/>
        <v>5.0850923126098815</v>
      </c>
      <c r="E34" s="489">
        <v>5</v>
      </c>
      <c r="F34" s="490">
        <f t="shared" si="5"/>
        <v>25.425461563049407</v>
      </c>
      <c r="G34" s="511">
        <f t="shared" si="6"/>
        <v>25.425461563049407</v>
      </c>
      <c r="H34" s="505">
        <v>30</v>
      </c>
      <c r="I34" s="491"/>
      <c r="K34"/>
      <c r="L34"/>
      <c r="M34"/>
      <c r="N34"/>
      <c r="O34"/>
    </row>
    <row r="35" spans="1:15" ht="15" x14ac:dyDescent="0.25">
      <c r="A35" s="487" t="s">
        <v>353</v>
      </c>
      <c r="B35" s="487" t="s">
        <v>354</v>
      </c>
      <c r="C35" s="488"/>
      <c r="D35" s="489">
        <f t="shared" si="7"/>
        <v>0</v>
      </c>
      <c r="E35" s="489">
        <v>0</v>
      </c>
      <c r="F35" s="490">
        <f>D35*E35</f>
        <v>0</v>
      </c>
      <c r="G35" s="511">
        <f>IF(F35&gt;=H35,H35,F35)</f>
        <v>0</v>
      </c>
      <c r="H35" s="505">
        <v>0</v>
      </c>
      <c r="I35" s="492"/>
      <c r="K35"/>
      <c r="L35"/>
      <c r="M35"/>
      <c r="N35"/>
      <c r="O35"/>
    </row>
    <row r="36" spans="1:15" ht="15" x14ac:dyDescent="0.25">
      <c r="A36" s="487"/>
      <c r="B36" s="487" t="s">
        <v>355</v>
      </c>
      <c r="C36" s="488">
        <f>SUM(C27:C35)</f>
        <v>2422.5598796523864</v>
      </c>
      <c r="D36" s="493">
        <f>SUM(D27:D35)</f>
        <v>100.93999498551611</v>
      </c>
      <c r="E36" s="494"/>
      <c r="F36" s="490">
        <f>SUM(F27:F35)</f>
        <v>114.44747983588094</v>
      </c>
      <c r="G36" s="512">
        <f>SUM(G27:G35)</f>
        <v>82.031641139934777</v>
      </c>
      <c r="H36" s="495">
        <f>SUM(H27:H35)</f>
        <v>100</v>
      </c>
      <c r="I36" s="495"/>
      <c r="K36"/>
      <c r="L36"/>
      <c r="M36"/>
      <c r="N36"/>
      <c r="O36"/>
    </row>
    <row r="37" spans="1:15" ht="15" x14ac:dyDescent="0.25">
      <c r="A37" s="500"/>
      <c r="B37" s="501" t="s">
        <v>604</v>
      </c>
      <c r="C37" s="500"/>
      <c r="D37" s="500"/>
      <c r="E37" s="500"/>
      <c r="F37" s="500"/>
      <c r="G37" s="500"/>
      <c r="H37" s="500"/>
      <c r="I37" s="500"/>
      <c r="K37"/>
      <c r="L37"/>
      <c r="M37"/>
      <c r="N37"/>
      <c r="O37"/>
    </row>
    <row r="38" spans="1:15" ht="15" x14ac:dyDescent="0.25">
      <c r="A38" s="500"/>
      <c r="B38" s="664" t="s">
        <v>615</v>
      </c>
      <c r="C38" s="664"/>
      <c r="D38" s="664"/>
      <c r="E38" s="664"/>
      <c r="F38" s="664"/>
      <c r="G38" s="664"/>
      <c r="H38" s="664"/>
      <c r="I38" s="664"/>
      <c r="K38"/>
      <c r="L38"/>
      <c r="M38"/>
      <c r="N38"/>
      <c r="O38"/>
    </row>
    <row r="39" spans="1:15" ht="15" x14ac:dyDescent="0.25">
      <c r="A39" s="500"/>
      <c r="B39" s="664"/>
      <c r="C39" s="664"/>
      <c r="D39" s="664"/>
      <c r="E39" s="664"/>
      <c r="F39" s="664"/>
      <c r="G39" s="664"/>
      <c r="H39" s="664"/>
      <c r="I39" s="664"/>
      <c r="K39"/>
      <c r="L39"/>
      <c r="M39"/>
      <c r="N39"/>
      <c r="O39"/>
    </row>
    <row r="40" spans="1:15" ht="15.75" thickBot="1" x14ac:dyDescent="0.3">
      <c r="A40" s="502"/>
      <c r="B40" s="502"/>
      <c r="C40" s="502"/>
      <c r="D40" s="502"/>
      <c r="E40" s="502"/>
      <c r="F40" s="502"/>
      <c r="G40" s="502"/>
      <c r="H40" s="502"/>
      <c r="I40" s="502"/>
      <c r="K40"/>
      <c r="L40"/>
      <c r="M40"/>
      <c r="N40"/>
      <c r="O40"/>
    </row>
    <row r="41" spans="1:15" ht="15" x14ac:dyDescent="0.25">
      <c r="A41" s="672" t="s">
        <v>608</v>
      </c>
      <c r="B41" s="672"/>
      <c r="C41" s="672"/>
      <c r="D41" s="672"/>
      <c r="E41" s="672"/>
      <c r="F41" s="672"/>
      <c r="G41" s="672"/>
      <c r="H41" s="672"/>
      <c r="I41" s="672"/>
      <c r="K41"/>
      <c r="L41"/>
      <c r="M41"/>
      <c r="N41"/>
      <c r="O41"/>
    </row>
    <row r="42" spans="1:15" ht="15" x14ac:dyDescent="0.25">
      <c r="A42" s="666" t="s">
        <v>304</v>
      </c>
      <c r="B42" s="666"/>
      <c r="C42" s="666"/>
      <c r="D42" s="666"/>
      <c r="E42" s="666"/>
      <c r="F42" s="666"/>
      <c r="G42" s="666"/>
      <c r="H42" s="666"/>
      <c r="I42" s="666"/>
      <c r="K42"/>
      <c r="L42"/>
      <c r="M42"/>
      <c r="N42"/>
      <c r="O42"/>
    </row>
    <row r="43" spans="1:15" ht="15" x14ac:dyDescent="0.25">
      <c r="A43" s="666" t="s">
        <v>609</v>
      </c>
      <c r="B43" s="666"/>
      <c r="C43" s="666"/>
      <c r="D43" s="666"/>
      <c r="E43" s="666"/>
      <c r="F43" s="666"/>
      <c r="G43" s="666"/>
      <c r="H43" s="666"/>
      <c r="I43" s="666"/>
      <c r="K43"/>
      <c r="L43"/>
      <c r="M43"/>
      <c r="N43"/>
      <c r="O43"/>
    </row>
    <row r="44" spans="1:15" x14ac:dyDescent="0.2">
      <c r="A44" s="666" t="str">
        <f>Produksi!A3</f>
        <v>TAHUN 2025</v>
      </c>
      <c r="B44" s="666"/>
      <c r="C44" s="666"/>
      <c r="D44" s="666"/>
      <c r="E44" s="666"/>
      <c r="F44" s="666"/>
      <c r="G44" s="666"/>
      <c r="H44" s="666"/>
      <c r="I44" s="666"/>
    </row>
    <row r="45" spans="1:15" x14ac:dyDescent="0.2">
      <c r="A45" s="483" t="s">
        <v>327</v>
      </c>
      <c r="B45" s="484" t="s">
        <v>328</v>
      </c>
      <c r="C45" s="484" t="s">
        <v>329</v>
      </c>
      <c r="D45" s="484" t="s">
        <v>330</v>
      </c>
      <c r="E45" s="484" t="s">
        <v>331</v>
      </c>
      <c r="F45" s="484" t="s">
        <v>332</v>
      </c>
      <c r="G45" s="507" t="s">
        <v>333</v>
      </c>
      <c r="H45" s="484" t="s">
        <v>334</v>
      </c>
      <c r="I45" s="484" t="s">
        <v>335</v>
      </c>
    </row>
    <row r="46" spans="1:15" x14ac:dyDescent="0.2">
      <c r="A46" s="485"/>
      <c r="B46" s="486" t="s">
        <v>336</v>
      </c>
      <c r="C46" s="486" t="s">
        <v>337</v>
      </c>
      <c r="D46" s="486"/>
      <c r="E46" s="486"/>
      <c r="F46" s="486"/>
      <c r="G46" s="508"/>
      <c r="H46" s="486"/>
      <c r="I46" s="486"/>
    </row>
    <row r="47" spans="1:15" x14ac:dyDescent="0.2">
      <c r="A47" s="487" t="s">
        <v>338</v>
      </c>
      <c r="B47" s="487" t="s">
        <v>316</v>
      </c>
      <c r="C47" s="488">
        <f>'Tabel NBM REVISI'!$Q$12</f>
        <v>905.92834762249072</v>
      </c>
      <c r="D47" s="489">
        <f>(C47/2400)*100</f>
        <v>37.747014484270444</v>
      </c>
      <c r="E47" s="489">
        <v>0.5</v>
      </c>
      <c r="F47" s="490">
        <f>D47*E47</f>
        <v>18.873507242135222</v>
      </c>
      <c r="G47" s="511">
        <f>IF(F47&gt;=H47,H47,F47)</f>
        <v>18.873507242135222</v>
      </c>
      <c r="H47" s="499">
        <v>20</v>
      </c>
      <c r="I47" s="491"/>
    </row>
    <row r="48" spans="1:15" x14ac:dyDescent="0.2">
      <c r="A48" s="487" t="s">
        <v>339</v>
      </c>
      <c r="B48" s="487" t="s">
        <v>340</v>
      </c>
      <c r="C48" s="488">
        <f>'Tabel NBM REVISI'!$Q$18+'Tabel NBM REVISI'!$Q$84</f>
        <v>21.650410472399798</v>
      </c>
      <c r="D48" s="489">
        <f t="shared" ref="D48" si="8">(C48/2400)*100</f>
        <v>0.90210043634999171</v>
      </c>
      <c r="E48" s="489">
        <v>0.5</v>
      </c>
      <c r="F48" s="490">
        <f t="shared" ref="F48:F54" si="9">D48*E48</f>
        <v>0.45105021817499585</v>
      </c>
      <c r="G48" s="511">
        <f t="shared" ref="G48:G54" si="10">IF(F48&gt;=H48,H48,F48)</f>
        <v>0.45105021817499585</v>
      </c>
      <c r="H48" s="499">
        <v>8</v>
      </c>
      <c r="I48" s="491"/>
    </row>
    <row r="49" spans="1:9" x14ac:dyDescent="0.2">
      <c r="A49" s="487" t="s">
        <v>341</v>
      </c>
      <c r="B49" s="487" t="s">
        <v>342</v>
      </c>
      <c r="C49" s="488">
        <f>'Tabel NBM REVISI'!$Q$112+'Tabel NBM REVISI'!$Q$125+'Tabel NBM REVISI'!$Q$131+'Tabel NBM REVISI'!$Q$135-'Tabel NBM REVISI'!$Q$157-'Tabel NBM REVISI'!$Q$123</f>
        <v>586.16113118060639</v>
      </c>
      <c r="D49" s="489">
        <f>(C49/2400)*100</f>
        <v>24.4233804658586</v>
      </c>
      <c r="E49" s="489">
        <v>2</v>
      </c>
      <c r="F49" s="490">
        <f t="shared" si="9"/>
        <v>48.846760931717199</v>
      </c>
      <c r="G49" s="511">
        <f t="shared" si="10"/>
        <v>30</v>
      </c>
      <c r="H49" s="499">
        <v>30</v>
      </c>
      <c r="I49" s="491"/>
    </row>
    <row r="50" spans="1:9" x14ac:dyDescent="0.2">
      <c r="A50" s="487" t="s">
        <v>343</v>
      </c>
      <c r="B50" s="487" t="s">
        <v>326</v>
      </c>
      <c r="C50" s="488">
        <f>'Tabel NBM REVISI'!$Q$123+'Tabel NBM REVISI'!$Q$172</f>
        <v>603.31573268299064</v>
      </c>
      <c r="D50" s="489">
        <f t="shared" ref="D50:D55" si="11">(C50/2400)*100</f>
        <v>25.138155528457943</v>
      </c>
      <c r="E50" s="489">
        <v>0.5</v>
      </c>
      <c r="F50" s="490">
        <f t="shared" si="9"/>
        <v>12.569077764228972</v>
      </c>
      <c r="G50" s="511">
        <f t="shared" si="10"/>
        <v>4</v>
      </c>
      <c r="H50" s="499">
        <v>4</v>
      </c>
      <c r="I50" s="491"/>
    </row>
    <row r="51" spans="1:9" x14ac:dyDescent="0.2">
      <c r="A51" s="487" t="s">
        <v>345</v>
      </c>
      <c r="B51" s="487" t="s">
        <v>346</v>
      </c>
      <c r="C51" s="488">
        <f>'Tabel NBM REVISI'!$Q$33</f>
        <v>0</v>
      </c>
      <c r="D51" s="489">
        <f t="shared" si="11"/>
        <v>0</v>
      </c>
      <c r="E51" s="489">
        <v>0.5</v>
      </c>
      <c r="F51" s="490">
        <f t="shared" si="9"/>
        <v>0</v>
      </c>
      <c r="G51" s="511">
        <f t="shared" si="10"/>
        <v>0</v>
      </c>
      <c r="H51" s="489">
        <v>1</v>
      </c>
      <c r="I51" s="491"/>
    </row>
    <row r="52" spans="1:9" x14ac:dyDescent="0.2">
      <c r="A52" s="487" t="s">
        <v>348</v>
      </c>
      <c r="B52" s="487" t="s">
        <v>349</v>
      </c>
      <c r="C52" s="488">
        <f>'Tabel NBM REVISI'!$Q$29-'Tabel NBM REVISI'!$Q$33+'Tabel NBM REVISI'!$Q$82</f>
        <v>71.351939801448395</v>
      </c>
      <c r="D52" s="489">
        <f t="shared" si="11"/>
        <v>2.9729974917270163</v>
      </c>
      <c r="E52" s="489">
        <v>2</v>
      </c>
      <c r="F52" s="490">
        <f t="shared" si="9"/>
        <v>5.9459949834540327</v>
      </c>
      <c r="G52" s="511">
        <f t="shared" si="10"/>
        <v>5.9459949834540327</v>
      </c>
      <c r="H52" s="489">
        <v>10</v>
      </c>
      <c r="I52" s="491"/>
    </row>
    <row r="53" spans="1:9" x14ac:dyDescent="0.2">
      <c r="A53" s="487" t="s">
        <v>350</v>
      </c>
      <c r="B53" s="487" t="s">
        <v>318</v>
      </c>
      <c r="C53" s="488">
        <f>'Tabel NBM REVISI'!$Q$24</f>
        <v>112.11010238981341</v>
      </c>
      <c r="D53" s="489">
        <f t="shared" si="11"/>
        <v>4.671254266242225</v>
      </c>
      <c r="E53" s="489">
        <v>0.5</v>
      </c>
      <c r="F53" s="490">
        <f t="shared" si="9"/>
        <v>2.3356271331211125</v>
      </c>
      <c r="G53" s="511">
        <f t="shared" si="10"/>
        <v>2</v>
      </c>
      <c r="H53" s="499">
        <v>2</v>
      </c>
      <c r="I53" s="491"/>
    </row>
    <row r="54" spans="1:9" x14ac:dyDescent="0.2">
      <c r="A54" s="487" t="s">
        <v>351</v>
      </c>
      <c r="B54" s="487" t="s">
        <v>352</v>
      </c>
      <c r="C54" s="488">
        <f>'Tabel NBM REVISI'!$Q$35+'Tabel NBM REVISI'!$Q$77-'Tabel NBM REVISI'!$Q$84-'Tabel NBM REVISI'!$Q$82+'Tabel NBM REVISI'!$Q$157</f>
        <v>122.04221550263716</v>
      </c>
      <c r="D54" s="489">
        <f t="shared" si="11"/>
        <v>5.0850923126098815</v>
      </c>
      <c r="E54" s="489">
        <v>5</v>
      </c>
      <c r="F54" s="490">
        <f t="shared" si="9"/>
        <v>25.425461563049407</v>
      </c>
      <c r="G54" s="511">
        <f t="shared" si="10"/>
        <v>25</v>
      </c>
      <c r="H54" s="499">
        <v>25</v>
      </c>
      <c r="I54" s="491"/>
    </row>
    <row r="55" spans="1:9" x14ac:dyDescent="0.2">
      <c r="A55" s="487" t="s">
        <v>353</v>
      </c>
      <c r="B55" s="487" t="s">
        <v>354</v>
      </c>
      <c r="C55" s="488"/>
      <c r="D55" s="489">
        <f t="shared" si="11"/>
        <v>0</v>
      </c>
      <c r="E55" s="489">
        <v>0</v>
      </c>
      <c r="F55" s="490">
        <f>D55*E55</f>
        <v>0</v>
      </c>
      <c r="G55" s="511">
        <f>IF(F55&gt;=H55,H55,F55)</f>
        <v>0</v>
      </c>
      <c r="H55" s="489">
        <v>0</v>
      </c>
      <c r="I55" s="492"/>
    </row>
    <row r="56" spans="1:9" x14ac:dyDescent="0.2">
      <c r="A56" s="487"/>
      <c r="B56" s="487" t="s">
        <v>355</v>
      </c>
      <c r="C56" s="488">
        <f>SUM(C47:C55)</f>
        <v>2422.5598796523864</v>
      </c>
      <c r="D56" s="493">
        <f>SUM(D47:D55)</f>
        <v>100.93999498551611</v>
      </c>
      <c r="E56" s="494"/>
      <c r="F56" s="490">
        <f>SUM(F47:F55)</f>
        <v>114.44747983588094</v>
      </c>
      <c r="G56" s="512">
        <f>SUM(G47:G55)</f>
        <v>86.270552443764245</v>
      </c>
      <c r="H56" s="495">
        <f>SUM(H47:H55)</f>
        <v>100</v>
      </c>
      <c r="I56" s="495"/>
    </row>
    <row r="57" spans="1:9" x14ac:dyDescent="0.2">
      <c r="A57" s="500"/>
      <c r="B57" s="501" t="s">
        <v>604</v>
      </c>
      <c r="C57" s="500"/>
      <c r="D57" s="500"/>
      <c r="E57" s="500"/>
      <c r="F57" s="500"/>
      <c r="G57" s="500"/>
      <c r="H57" s="500"/>
      <c r="I57" s="500"/>
    </row>
    <row r="58" spans="1:9" x14ac:dyDescent="0.2">
      <c r="A58" s="500"/>
      <c r="B58" s="663" t="s">
        <v>616</v>
      </c>
      <c r="C58" s="663"/>
      <c r="D58" s="663"/>
      <c r="E58" s="663"/>
      <c r="F58" s="663"/>
      <c r="G58" s="663"/>
      <c r="H58" s="663"/>
      <c r="I58" s="663"/>
    </row>
    <row r="59" spans="1:9" x14ac:dyDescent="0.2">
      <c r="A59" s="500"/>
      <c r="B59" s="663"/>
      <c r="C59" s="663"/>
      <c r="D59" s="663"/>
      <c r="E59" s="663"/>
      <c r="F59" s="663"/>
      <c r="G59" s="663"/>
      <c r="H59" s="663"/>
      <c r="I59" s="663"/>
    </row>
    <row r="60" spans="1:9" ht="13.5" thickBot="1" x14ac:dyDescent="0.25">
      <c r="A60" s="502"/>
      <c r="B60" s="502"/>
      <c r="C60" s="502"/>
      <c r="D60" s="502"/>
      <c r="E60" s="502"/>
      <c r="F60" s="502"/>
      <c r="G60" s="502"/>
      <c r="H60" s="502"/>
      <c r="I60" s="502"/>
    </row>
  </sheetData>
  <sheetProtection algorithmName="SHA-512" hashValue="98y8vh12jAXJ2S2iDC6dF4Ggn7CDklJHXWmmAA2N7SwjwLyCWgjk+IiwHzMPtr+94y+hslDsw2MHL5B1OYBq8g==" saltValue="Wm+eecRo9O/CS7rE3Em/Sg==" spinCount="100000" sheet="1" objects="1" scenarios="1"/>
  <mergeCells count="19">
    <mergeCell ref="L4:L5"/>
    <mergeCell ref="L3:O3"/>
    <mergeCell ref="L2:O2"/>
    <mergeCell ref="L1:O1"/>
    <mergeCell ref="B58:I59"/>
    <mergeCell ref="B18:I19"/>
    <mergeCell ref="B38:I39"/>
    <mergeCell ref="A41:I41"/>
    <mergeCell ref="A42:I42"/>
    <mergeCell ref="A43:I43"/>
    <mergeCell ref="A44:I44"/>
    <mergeCell ref="A1:I1"/>
    <mergeCell ref="A21:I21"/>
    <mergeCell ref="A22:I22"/>
    <mergeCell ref="A23:I23"/>
    <mergeCell ref="A24:I24"/>
    <mergeCell ref="A2:I2"/>
    <mergeCell ref="A3:I3"/>
    <mergeCell ref="A4:I4"/>
  </mergeCells>
  <pageMargins left="0.69930555555555596" right="0.69930555555555596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AO195"/>
  <sheetViews>
    <sheetView view="pageBreakPreview" zoomScale="95" zoomScaleNormal="100" zoomScaleSheetLayoutView="100" workbookViewId="0">
      <pane xSplit="2" ySplit="11" topLeftCell="C12" activePane="bottomRight" state="frozen"/>
      <selection activeCell="C15" sqref="C15"/>
      <selection pane="topRight" activeCell="C15" sqref="C15"/>
      <selection pane="bottomLeft" activeCell="C15" sqref="C15"/>
      <selection pane="bottomRight" activeCell="C15" sqref="C15"/>
    </sheetView>
  </sheetViews>
  <sheetFormatPr defaultColWidth="9" defaultRowHeight="12.75" x14ac:dyDescent="0.2"/>
  <cols>
    <col min="1" max="1" width="1.42578125" style="60" customWidth="1"/>
    <col min="2" max="2" width="31.85546875" style="60" customWidth="1"/>
    <col min="3" max="3" width="8.28515625" style="62" customWidth="1"/>
    <col min="4" max="4" width="9.7109375" style="62" customWidth="1"/>
    <col min="5" max="5" width="8.28515625" style="62" customWidth="1"/>
    <col min="6" max="6" width="6.5703125" style="62" customWidth="1"/>
    <col min="7" max="7" width="6.7109375" style="62" customWidth="1"/>
    <col min="8" max="8" width="8.85546875" style="62" customWidth="1"/>
    <col min="9" max="9" width="7.7109375" style="62" customWidth="1"/>
    <col min="10" max="10" width="7.28515625" style="62" customWidth="1"/>
    <col min="11" max="11" width="7.7109375" style="62" customWidth="1"/>
    <col min="12" max="12" width="8.28515625" style="62" customWidth="1"/>
    <col min="13" max="16" width="6.7109375" style="62" customWidth="1"/>
    <col min="17" max="17" width="7.7109375" style="63" customWidth="1"/>
    <col min="18" max="18" width="12.7109375" style="63" bestFit="1" customWidth="1"/>
    <col min="19" max="19" width="7.7109375" style="63" customWidth="1"/>
    <col min="20" max="21" width="8.28515625" style="63" customWidth="1"/>
    <col min="22" max="22" width="6.28515625" style="60" hidden="1" customWidth="1"/>
    <col min="23" max="23" width="10.42578125" style="60" hidden="1" customWidth="1"/>
    <col min="24" max="26" width="8.7109375" style="60" hidden="1" customWidth="1"/>
    <col min="27" max="27" width="0" style="60" hidden="1" customWidth="1"/>
    <col min="28" max="29" width="8.7109375" style="60" hidden="1" customWidth="1"/>
    <col min="30" max="40" width="9" style="60"/>
    <col min="41" max="41" width="13.7109375" style="60" customWidth="1"/>
    <col min="42" max="239" width="9" style="60"/>
    <col min="240" max="240" width="1.42578125" style="60" customWidth="1"/>
    <col min="241" max="241" width="31.85546875" style="60" customWidth="1"/>
    <col min="242" max="242" width="8.28515625" style="60" customWidth="1"/>
    <col min="243" max="243" width="9.7109375" style="60" customWidth="1"/>
    <col min="244" max="244" width="8.28515625" style="60" customWidth="1"/>
    <col min="245" max="245" width="6.5703125" style="60" customWidth="1"/>
    <col min="246" max="246" width="14" style="60" customWidth="1"/>
    <col min="247" max="247" width="6.7109375" style="60" customWidth="1"/>
    <col min="248" max="248" width="8.85546875" style="60" customWidth="1"/>
    <col min="249" max="249" width="7.7109375" style="60" customWidth="1"/>
    <col min="250" max="250" width="7.28515625" style="60" customWidth="1"/>
    <col min="251" max="251" width="7.7109375" style="60" customWidth="1"/>
    <col min="252" max="252" width="8.28515625" style="60" customWidth="1"/>
    <col min="253" max="254" width="6.7109375" style="60" customWidth="1"/>
    <col min="255" max="255" width="8.85546875" style="60" customWidth="1"/>
    <col min="256" max="257" width="7.5703125" style="60" customWidth="1"/>
    <col min="258" max="258" width="7.7109375" style="60" customWidth="1"/>
    <col min="259" max="260" width="8.28515625" style="60" customWidth="1"/>
    <col min="261" max="261" width="6.28515625" style="60" customWidth="1"/>
    <col min="262" max="263" width="8.7109375" style="60" customWidth="1"/>
    <col min="264" max="264" width="9.5703125" style="60" customWidth="1"/>
    <col min="265" max="265" width="8.7109375" style="60" customWidth="1"/>
    <col min="266" max="266" width="14.5703125" style="60" customWidth="1"/>
    <col min="267" max="267" width="8.7109375" style="60" customWidth="1"/>
    <col min="268" max="268" width="10.42578125" style="60" customWidth="1"/>
    <col min="269" max="271" width="8.7109375" style="60" customWidth="1"/>
    <col min="272" max="272" width="9" style="60"/>
    <col min="273" max="274" width="8.7109375" style="60" customWidth="1"/>
    <col min="275" max="275" width="4.28515625" style="60" customWidth="1"/>
    <col min="276" max="276" width="7" style="60" customWidth="1"/>
    <col min="277" max="277" width="4.28515625" style="60" customWidth="1"/>
    <col min="278" max="278" width="7.7109375" style="60" customWidth="1"/>
    <col min="279" max="495" width="9" style="60"/>
    <col min="496" max="496" width="1.42578125" style="60" customWidth="1"/>
    <col min="497" max="497" width="31.85546875" style="60" customWidth="1"/>
    <col min="498" max="498" width="8.28515625" style="60" customWidth="1"/>
    <col min="499" max="499" width="9.7109375" style="60" customWidth="1"/>
    <col min="500" max="500" width="8.28515625" style="60" customWidth="1"/>
    <col min="501" max="501" width="6.5703125" style="60" customWidth="1"/>
    <col min="502" max="502" width="14" style="60" customWidth="1"/>
    <col min="503" max="503" width="6.7109375" style="60" customWidth="1"/>
    <col min="504" max="504" width="8.85546875" style="60" customWidth="1"/>
    <col min="505" max="505" width="7.7109375" style="60" customWidth="1"/>
    <col min="506" max="506" width="7.28515625" style="60" customWidth="1"/>
    <col min="507" max="507" width="7.7109375" style="60" customWidth="1"/>
    <col min="508" max="508" width="8.28515625" style="60" customWidth="1"/>
    <col min="509" max="510" width="6.7109375" style="60" customWidth="1"/>
    <col min="511" max="511" width="8.85546875" style="60" customWidth="1"/>
    <col min="512" max="513" width="7.5703125" style="60" customWidth="1"/>
    <col min="514" max="514" width="7.7109375" style="60" customWidth="1"/>
    <col min="515" max="516" width="8.28515625" style="60" customWidth="1"/>
    <col min="517" max="517" width="6.28515625" style="60" customWidth="1"/>
    <col min="518" max="519" width="8.7109375" style="60" customWidth="1"/>
    <col min="520" max="520" width="9.5703125" style="60" customWidth="1"/>
    <col min="521" max="521" width="8.7109375" style="60" customWidth="1"/>
    <col min="522" max="522" width="14.5703125" style="60" customWidth="1"/>
    <col min="523" max="523" width="8.7109375" style="60" customWidth="1"/>
    <col min="524" max="524" width="10.42578125" style="60" customWidth="1"/>
    <col min="525" max="527" width="8.7109375" style="60" customWidth="1"/>
    <col min="528" max="528" width="9" style="60"/>
    <col min="529" max="530" width="8.7109375" style="60" customWidth="1"/>
    <col min="531" max="531" width="4.28515625" style="60" customWidth="1"/>
    <col min="532" max="532" width="7" style="60" customWidth="1"/>
    <col min="533" max="533" width="4.28515625" style="60" customWidth="1"/>
    <col min="534" max="534" width="7.7109375" style="60" customWidth="1"/>
    <col min="535" max="751" width="9" style="60"/>
    <col min="752" max="752" width="1.42578125" style="60" customWidth="1"/>
    <col min="753" max="753" width="31.85546875" style="60" customWidth="1"/>
    <col min="754" max="754" width="8.28515625" style="60" customWidth="1"/>
    <col min="755" max="755" width="9.7109375" style="60" customWidth="1"/>
    <col min="756" max="756" width="8.28515625" style="60" customWidth="1"/>
    <col min="757" max="757" width="6.5703125" style="60" customWidth="1"/>
    <col min="758" max="758" width="14" style="60" customWidth="1"/>
    <col min="759" max="759" width="6.7109375" style="60" customWidth="1"/>
    <col min="760" max="760" width="8.85546875" style="60" customWidth="1"/>
    <col min="761" max="761" width="7.7109375" style="60" customWidth="1"/>
    <col min="762" max="762" width="7.28515625" style="60" customWidth="1"/>
    <col min="763" max="763" width="7.7109375" style="60" customWidth="1"/>
    <col min="764" max="764" width="8.28515625" style="60" customWidth="1"/>
    <col min="765" max="766" width="6.7109375" style="60" customWidth="1"/>
    <col min="767" max="767" width="8.85546875" style="60" customWidth="1"/>
    <col min="768" max="769" width="7.5703125" style="60" customWidth="1"/>
    <col min="770" max="770" width="7.7109375" style="60" customWidth="1"/>
    <col min="771" max="772" width="8.28515625" style="60" customWidth="1"/>
    <col min="773" max="773" width="6.28515625" style="60" customWidth="1"/>
    <col min="774" max="775" width="8.7109375" style="60" customWidth="1"/>
    <col min="776" max="776" width="9.5703125" style="60" customWidth="1"/>
    <col min="777" max="777" width="8.7109375" style="60" customWidth="1"/>
    <col min="778" max="778" width="14.5703125" style="60" customWidth="1"/>
    <col min="779" max="779" width="8.7109375" style="60" customWidth="1"/>
    <col min="780" max="780" width="10.42578125" style="60" customWidth="1"/>
    <col min="781" max="783" width="8.7109375" style="60" customWidth="1"/>
    <col min="784" max="784" width="9" style="60"/>
    <col min="785" max="786" width="8.7109375" style="60" customWidth="1"/>
    <col min="787" max="787" width="4.28515625" style="60" customWidth="1"/>
    <col min="788" max="788" width="7" style="60" customWidth="1"/>
    <col min="789" max="789" width="4.28515625" style="60" customWidth="1"/>
    <col min="790" max="790" width="7.7109375" style="60" customWidth="1"/>
    <col min="791" max="1007" width="9" style="60"/>
    <col min="1008" max="1008" width="1.42578125" style="60" customWidth="1"/>
    <col min="1009" max="1009" width="31.85546875" style="60" customWidth="1"/>
    <col min="1010" max="1010" width="8.28515625" style="60" customWidth="1"/>
    <col min="1011" max="1011" width="9.7109375" style="60" customWidth="1"/>
    <col min="1012" max="1012" width="8.28515625" style="60" customWidth="1"/>
    <col min="1013" max="1013" width="6.5703125" style="60" customWidth="1"/>
    <col min="1014" max="1014" width="14" style="60" customWidth="1"/>
    <col min="1015" max="1015" width="6.7109375" style="60" customWidth="1"/>
    <col min="1016" max="1016" width="8.85546875" style="60" customWidth="1"/>
    <col min="1017" max="1017" width="7.7109375" style="60" customWidth="1"/>
    <col min="1018" max="1018" width="7.28515625" style="60" customWidth="1"/>
    <col min="1019" max="1019" width="7.7109375" style="60" customWidth="1"/>
    <col min="1020" max="1020" width="8.28515625" style="60" customWidth="1"/>
    <col min="1021" max="1022" width="6.7109375" style="60" customWidth="1"/>
    <col min="1023" max="1023" width="8.85546875" style="60" customWidth="1"/>
    <col min="1024" max="1025" width="7.5703125" style="60" customWidth="1"/>
    <col min="1026" max="1026" width="7.7109375" style="60" customWidth="1"/>
    <col min="1027" max="1028" width="8.28515625" style="60" customWidth="1"/>
    <col min="1029" max="1029" width="6.28515625" style="60" customWidth="1"/>
    <col min="1030" max="1031" width="8.7109375" style="60" customWidth="1"/>
    <col min="1032" max="1032" width="9.5703125" style="60" customWidth="1"/>
    <col min="1033" max="1033" width="8.7109375" style="60" customWidth="1"/>
    <col min="1034" max="1034" width="14.5703125" style="60" customWidth="1"/>
    <col min="1035" max="1035" width="8.7109375" style="60" customWidth="1"/>
    <col min="1036" max="1036" width="10.42578125" style="60" customWidth="1"/>
    <col min="1037" max="1039" width="8.7109375" style="60" customWidth="1"/>
    <col min="1040" max="1040" width="9" style="60"/>
    <col min="1041" max="1042" width="8.7109375" style="60" customWidth="1"/>
    <col min="1043" max="1043" width="4.28515625" style="60" customWidth="1"/>
    <col min="1044" max="1044" width="7" style="60" customWidth="1"/>
    <col min="1045" max="1045" width="4.28515625" style="60" customWidth="1"/>
    <col min="1046" max="1046" width="7.7109375" style="60" customWidth="1"/>
    <col min="1047" max="1263" width="9" style="60"/>
    <col min="1264" max="1264" width="1.42578125" style="60" customWidth="1"/>
    <col min="1265" max="1265" width="31.85546875" style="60" customWidth="1"/>
    <col min="1266" max="1266" width="8.28515625" style="60" customWidth="1"/>
    <col min="1267" max="1267" width="9.7109375" style="60" customWidth="1"/>
    <col min="1268" max="1268" width="8.28515625" style="60" customWidth="1"/>
    <col min="1269" max="1269" width="6.5703125" style="60" customWidth="1"/>
    <col min="1270" max="1270" width="14" style="60" customWidth="1"/>
    <col min="1271" max="1271" width="6.7109375" style="60" customWidth="1"/>
    <col min="1272" max="1272" width="8.85546875" style="60" customWidth="1"/>
    <col min="1273" max="1273" width="7.7109375" style="60" customWidth="1"/>
    <col min="1274" max="1274" width="7.28515625" style="60" customWidth="1"/>
    <col min="1275" max="1275" width="7.7109375" style="60" customWidth="1"/>
    <col min="1276" max="1276" width="8.28515625" style="60" customWidth="1"/>
    <col min="1277" max="1278" width="6.7109375" style="60" customWidth="1"/>
    <col min="1279" max="1279" width="8.85546875" style="60" customWidth="1"/>
    <col min="1280" max="1281" width="7.5703125" style="60" customWidth="1"/>
    <col min="1282" max="1282" width="7.7109375" style="60" customWidth="1"/>
    <col min="1283" max="1284" width="8.28515625" style="60" customWidth="1"/>
    <col min="1285" max="1285" width="6.28515625" style="60" customWidth="1"/>
    <col min="1286" max="1287" width="8.7109375" style="60" customWidth="1"/>
    <col min="1288" max="1288" width="9.5703125" style="60" customWidth="1"/>
    <col min="1289" max="1289" width="8.7109375" style="60" customWidth="1"/>
    <col min="1290" max="1290" width="14.5703125" style="60" customWidth="1"/>
    <col min="1291" max="1291" width="8.7109375" style="60" customWidth="1"/>
    <col min="1292" max="1292" width="10.42578125" style="60" customWidth="1"/>
    <col min="1293" max="1295" width="8.7109375" style="60" customWidth="1"/>
    <col min="1296" max="1296" width="9" style="60"/>
    <col min="1297" max="1298" width="8.7109375" style="60" customWidth="1"/>
    <col min="1299" max="1299" width="4.28515625" style="60" customWidth="1"/>
    <col min="1300" max="1300" width="7" style="60" customWidth="1"/>
    <col min="1301" max="1301" width="4.28515625" style="60" customWidth="1"/>
    <col min="1302" max="1302" width="7.7109375" style="60" customWidth="1"/>
    <col min="1303" max="1519" width="9" style="60"/>
    <col min="1520" max="1520" width="1.42578125" style="60" customWidth="1"/>
    <col min="1521" max="1521" width="31.85546875" style="60" customWidth="1"/>
    <col min="1522" max="1522" width="8.28515625" style="60" customWidth="1"/>
    <col min="1523" max="1523" width="9.7109375" style="60" customWidth="1"/>
    <col min="1524" max="1524" width="8.28515625" style="60" customWidth="1"/>
    <col min="1525" max="1525" width="6.5703125" style="60" customWidth="1"/>
    <col min="1526" max="1526" width="14" style="60" customWidth="1"/>
    <col min="1527" max="1527" width="6.7109375" style="60" customWidth="1"/>
    <col min="1528" max="1528" width="8.85546875" style="60" customWidth="1"/>
    <col min="1529" max="1529" width="7.7109375" style="60" customWidth="1"/>
    <col min="1530" max="1530" width="7.28515625" style="60" customWidth="1"/>
    <col min="1531" max="1531" width="7.7109375" style="60" customWidth="1"/>
    <col min="1532" max="1532" width="8.28515625" style="60" customWidth="1"/>
    <col min="1533" max="1534" width="6.7109375" style="60" customWidth="1"/>
    <col min="1535" max="1535" width="8.85546875" style="60" customWidth="1"/>
    <col min="1536" max="1537" width="7.5703125" style="60" customWidth="1"/>
    <col min="1538" max="1538" width="7.7109375" style="60" customWidth="1"/>
    <col min="1539" max="1540" width="8.28515625" style="60" customWidth="1"/>
    <col min="1541" max="1541" width="6.28515625" style="60" customWidth="1"/>
    <col min="1542" max="1543" width="8.7109375" style="60" customWidth="1"/>
    <col min="1544" max="1544" width="9.5703125" style="60" customWidth="1"/>
    <col min="1545" max="1545" width="8.7109375" style="60" customWidth="1"/>
    <col min="1546" max="1546" width="14.5703125" style="60" customWidth="1"/>
    <col min="1547" max="1547" width="8.7109375" style="60" customWidth="1"/>
    <col min="1548" max="1548" width="10.42578125" style="60" customWidth="1"/>
    <col min="1549" max="1551" width="8.7109375" style="60" customWidth="1"/>
    <col min="1552" max="1552" width="9" style="60"/>
    <col min="1553" max="1554" width="8.7109375" style="60" customWidth="1"/>
    <col min="1555" max="1555" width="4.28515625" style="60" customWidth="1"/>
    <col min="1556" max="1556" width="7" style="60" customWidth="1"/>
    <col min="1557" max="1557" width="4.28515625" style="60" customWidth="1"/>
    <col min="1558" max="1558" width="7.7109375" style="60" customWidth="1"/>
    <col min="1559" max="1775" width="9" style="60"/>
    <col min="1776" max="1776" width="1.42578125" style="60" customWidth="1"/>
    <col min="1777" max="1777" width="31.85546875" style="60" customWidth="1"/>
    <col min="1778" max="1778" width="8.28515625" style="60" customWidth="1"/>
    <col min="1779" max="1779" width="9.7109375" style="60" customWidth="1"/>
    <col min="1780" max="1780" width="8.28515625" style="60" customWidth="1"/>
    <col min="1781" max="1781" width="6.5703125" style="60" customWidth="1"/>
    <col min="1782" max="1782" width="14" style="60" customWidth="1"/>
    <col min="1783" max="1783" width="6.7109375" style="60" customWidth="1"/>
    <col min="1784" max="1784" width="8.85546875" style="60" customWidth="1"/>
    <col min="1785" max="1785" width="7.7109375" style="60" customWidth="1"/>
    <col min="1786" max="1786" width="7.28515625" style="60" customWidth="1"/>
    <col min="1787" max="1787" width="7.7109375" style="60" customWidth="1"/>
    <col min="1788" max="1788" width="8.28515625" style="60" customWidth="1"/>
    <col min="1789" max="1790" width="6.7109375" style="60" customWidth="1"/>
    <col min="1791" max="1791" width="8.85546875" style="60" customWidth="1"/>
    <col min="1792" max="1793" width="7.5703125" style="60" customWidth="1"/>
    <col min="1794" max="1794" width="7.7109375" style="60" customWidth="1"/>
    <col min="1795" max="1796" width="8.28515625" style="60" customWidth="1"/>
    <col min="1797" max="1797" width="6.28515625" style="60" customWidth="1"/>
    <col min="1798" max="1799" width="8.7109375" style="60" customWidth="1"/>
    <col min="1800" max="1800" width="9.5703125" style="60" customWidth="1"/>
    <col min="1801" max="1801" width="8.7109375" style="60" customWidth="1"/>
    <col min="1802" max="1802" width="14.5703125" style="60" customWidth="1"/>
    <col min="1803" max="1803" width="8.7109375" style="60" customWidth="1"/>
    <col min="1804" max="1804" width="10.42578125" style="60" customWidth="1"/>
    <col min="1805" max="1807" width="8.7109375" style="60" customWidth="1"/>
    <col min="1808" max="1808" width="9" style="60"/>
    <col min="1809" max="1810" width="8.7109375" style="60" customWidth="1"/>
    <col min="1811" max="1811" width="4.28515625" style="60" customWidth="1"/>
    <col min="1812" max="1812" width="7" style="60" customWidth="1"/>
    <col min="1813" max="1813" width="4.28515625" style="60" customWidth="1"/>
    <col min="1814" max="1814" width="7.7109375" style="60" customWidth="1"/>
    <col min="1815" max="2031" width="9" style="60"/>
    <col min="2032" max="2032" width="1.42578125" style="60" customWidth="1"/>
    <col min="2033" max="2033" width="31.85546875" style="60" customWidth="1"/>
    <col min="2034" max="2034" width="8.28515625" style="60" customWidth="1"/>
    <col min="2035" max="2035" width="9.7109375" style="60" customWidth="1"/>
    <col min="2036" max="2036" width="8.28515625" style="60" customWidth="1"/>
    <col min="2037" max="2037" width="6.5703125" style="60" customWidth="1"/>
    <col min="2038" max="2038" width="14" style="60" customWidth="1"/>
    <col min="2039" max="2039" width="6.7109375" style="60" customWidth="1"/>
    <col min="2040" max="2040" width="8.85546875" style="60" customWidth="1"/>
    <col min="2041" max="2041" width="7.7109375" style="60" customWidth="1"/>
    <col min="2042" max="2042" width="7.28515625" style="60" customWidth="1"/>
    <col min="2043" max="2043" width="7.7109375" style="60" customWidth="1"/>
    <col min="2044" max="2044" width="8.28515625" style="60" customWidth="1"/>
    <col min="2045" max="2046" width="6.7109375" style="60" customWidth="1"/>
    <col min="2047" max="2047" width="8.85546875" style="60" customWidth="1"/>
    <col min="2048" max="2049" width="7.5703125" style="60" customWidth="1"/>
    <col min="2050" max="2050" width="7.7109375" style="60" customWidth="1"/>
    <col min="2051" max="2052" width="8.28515625" style="60" customWidth="1"/>
    <col min="2053" max="2053" width="6.28515625" style="60" customWidth="1"/>
    <col min="2054" max="2055" width="8.7109375" style="60" customWidth="1"/>
    <col min="2056" max="2056" width="9.5703125" style="60" customWidth="1"/>
    <col min="2057" max="2057" width="8.7109375" style="60" customWidth="1"/>
    <col min="2058" max="2058" width="14.5703125" style="60" customWidth="1"/>
    <col min="2059" max="2059" width="8.7109375" style="60" customWidth="1"/>
    <col min="2060" max="2060" width="10.42578125" style="60" customWidth="1"/>
    <col min="2061" max="2063" width="8.7109375" style="60" customWidth="1"/>
    <col min="2064" max="2064" width="9" style="60"/>
    <col min="2065" max="2066" width="8.7109375" style="60" customWidth="1"/>
    <col min="2067" max="2067" width="4.28515625" style="60" customWidth="1"/>
    <col min="2068" max="2068" width="7" style="60" customWidth="1"/>
    <col min="2069" max="2069" width="4.28515625" style="60" customWidth="1"/>
    <col min="2070" max="2070" width="7.7109375" style="60" customWidth="1"/>
    <col min="2071" max="2287" width="9" style="60"/>
    <col min="2288" max="2288" width="1.42578125" style="60" customWidth="1"/>
    <col min="2289" max="2289" width="31.85546875" style="60" customWidth="1"/>
    <col min="2290" max="2290" width="8.28515625" style="60" customWidth="1"/>
    <col min="2291" max="2291" width="9.7109375" style="60" customWidth="1"/>
    <col min="2292" max="2292" width="8.28515625" style="60" customWidth="1"/>
    <col min="2293" max="2293" width="6.5703125" style="60" customWidth="1"/>
    <col min="2294" max="2294" width="14" style="60" customWidth="1"/>
    <col min="2295" max="2295" width="6.7109375" style="60" customWidth="1"/>
    <col min="2296" max="2296" width="8.85546875" style="60" customWidth="1"/>
    <col min="2297" max="2297" width="7.7109375" style="60" customWidth="1"/>
    <col min="2298" max="2298" width="7.28515625" style="60" customWidth="1"/>
    <col min="2299" max="2299" width="7.7109375" style="60" customWidth="1"/>
    <col min="2300" max="2300" width="8.28515625" style="60" customWidth="1"/>
    <col min="2301" max="2302" width="6.7109375" style="60" customWidth="1"/>
    <col min="2303" max="2303" width="8.85546875" style="60" customWidth="1"/>
    <col min="2304" max="2305" width="7.5703125" style="60" customWidth="1"/>
    <col min="2306" max="2306" width="7.7109375" style="60" customWidth="1"/>
    <col min="2307" max="2308" width="8.28515625" style="60" customWidth="1"/>
    <col min="2309" max="2309" width="6.28515625" style="60" customWidth="1"/>
    <col min="2310" max="2311" width="8.7109375" style="60" customWidth="1"/>
    <col min="2312" max="2312" width="9.5703125" style="60" customWidth="1"/>
    <col min="2313" max="2313" width="8.7109375" style="60" customWidth="1"/>
    <col min="2314" max="2314" width="14.5703125" style="60" customWidth="1"/>
    <col min="2315" max="2315" width="8.7109375" style="60" customWidth="1"/>
    <col min="2316" max="2316" width="10.42578125" style="60" customWidth="1"/>
    <col min="2317" max="2319" width="8.7109375" style="60" customWidth="1"/>
    <col min="2320" max="2320" width="9" style="60"/>
    <col min="2321" max="2322" width="8.7109375" style="60" customWidth="1"/>
    <col min="2323" max="2323" width="4.28515625" style="60" customWidth="1"/>
    <col min="2324" max="2324" width="7" style="60" customWidth="1"/>
    <col min="2325" max="2325" width="4.28515625" style="60" customWidth="1"/>
    <col min="2326" max="2326" width="7.7109375" style="60" customWidth="1"/>
    <col min="2327" max="2543" width="9" style="60"/>
    <col min="2544" max="2544" width="1.42578125" style="60" customWidth="1"/>
    <col min="2545" max="2545" width="31.85546875" style="60" customWidth="1"/>
    <col min="2546" max="2546" width="8.28515625" style="60" customWidth="1"/>
    <col min="2547" max="2547" width="9.7109375" style="60" customWidth="1"/>
    <col min="2548" max="2548" width="8.28515625" style="60" customWidth="1"/>
    <col min="2549" max="2549" width="6.5703125" style="60" customWidth="1"/>
    <col min="2550" max="2550" width="14" style="60" customWidth="1"/>
    <col min="2551" max="2551" width="6.7109375" style="60" customWidth="1"/>
    <col min="2552" max="2552" width="8.85546875" style="60" customWidth="1"/>
    <col min="2553" max="2553" width="7.7109375" style="60" customWidth="1"/>
    <col min="2554" max="2554" width="7.28515625" style="60" customWidth="1"/>
    <col min="2555" max="2555" width="7.7109375" style="60" customWidth="1"/>
    <col min="2556" max="2556" width="8.28515625" style="60" customWidth="1"/>
    <col min="2557" max="2558" width="6.7109375" style="60" customWidth="1"/>
    <col min="2559" max="2559" width="8.85546875" style="60" customWidth="1"/>
    <col min="2560" max="2561" width="7.5703125" style="60" customWidth="1"/>
    <col min="2562" max="2562" width="7.7109375" style="60" customWidth="1"/>
    <col min="2563" max="2564" width="8.28515625" style="60" customWidth="1"/>
    <col min="2565" max="2565" width="6.28515625" style="60" customWidth="1"/>
    <col min="2566" max="2567" width="8.7109375" style="60" customWidth="1"/>
    <col min="2568" max="2568" width="9.5703125" style="60" customWidth="1"/>
    <col min="2569" max="2569" width="8.7109375" style="60" customWidth="1"/>
    <col min="2570" max="2570" width="14.5703125" style="60" customWidth="1"/>
    <col min="2571" max="2571" width="8.7109375" style="60" customWidth="1"/>
    <col min="2572" max="2572" width="10.42578125" style="60" customWidth="1"/>
    <col min="2573" max="2575" width="8.7109375" style="60" customWidth="1"/>
    <col min="2576" max="2576" width="9" style="60"/>
    <col min="2577" max="2578" width="8.7109375" style="60" customWidth="1"/>
    <col min="2579" max="2579" width="4.28515625" style="60" customWidth="1"/>
    <col min="2580" max="2580" width="7" style="60" customWidth="1"/>
    <col min="2581" max="2581" width="4.28515625" style="60" customWidth="1"/>
    <col min="2582" max="2582" width="7.7109375" style="60" customWidth="1"/>
    <col min="2583" max="2799" width="9" style="60"/>
    <col min="2800" max="2800" width="1.42578125" style="60" customWidth="1"/>
    <col min="2801" max="2801" width="31.85546875" style="60" customWidth="1"/>
    <col min="2802" max="2802" width="8.28515625" style="60" customWidth="1"/>
    <col min="2803" max="2803" width="9.7109375" style="60" customWidth="1"/>
    <col min="2804" max="2804" width="8.28515625" style="60" customWidth="1"/>
    <col min="2805" max="2805" width="6.5703125" style="60" customWidth="1"/>
    <col min="2806" max="2806" width="14" style="60" customWidth="1"/>
    <col min="2807" max="2807" width="6.7109375" style="60" customWidth="1"/>
    <col min="2808" max="2808" width="8.85546875" style="60" customWidth="1"/>
    <col min="2809" max="2809" width="7.7109375" style="60" customWidth="1"/>
    <col min="2810" max="2810" width="7.28515625" style="60" customWidth="1"/>
    <col min="2811" max="2811" width="7.7109375" style="60" customWidth="1"/>
    <col min="2812" max="2812" width="8.28515625" style="60" customWidth="1"/>
    <col min="2813" max="2814" width="6.7109375" style="60" customWidth="1"/>
    <col min="2815" max="2815" width="8.85546875" style="60" customWidth="1"/>
    <col min="2816" max="2817" width="7.5703125" style="60" customWidth="1"/>
    <col min="2818" max="2818" width="7.7109375" style="60" customWidth="1"/>
    <col min="2819" max="2820" width="8.28515625" style="60" customWidth="1"/>
    <col min="2821" max="2821" width="6.28515625" style="60" customWidth="1"/>
    <col min="2822" max="2823" width="8.7109375" style="60" customWidth="1"/>
    <col min="2824" max="2824" width="9.5703125" style="60" customWidth="1"/>
    <col min="2825" max="2825" width="8.7109375" style="60" customWidth="1"/>
    <col min="2826" max="2826" width="14.5703125" style="60" customWidth="1"/>
    <col min="2827" max="2827" width="8.7109375" style="60" customWidth="1"/>
    <col min="2828" max="2828" width="10.42578125" style="60" customWidth="1"/>
    <col min="2829" max="2831" width="8.7109375" style="60" customWidth="1"/>
    <col min="2832" max="2832" width="9" style="60"/>
    <col min="2833" max="2834" width="8.7109375" style="60" customWidth="1"/>
    <col min="2835" max="2835" width="4.28515625" style="60" customWidth="1"/>
    <col min="2836" max="2836" width="7" style="60" customWidth="1"/>
    <col min="2837" max="2837" width="4.28515625" style="60" customWidth="1"/>
    <col min="2838" max="2838" width="7.7109375" style="60" customWidth="1"/>
    <col min="2839" max="3055" width="9" style="60"/>
    <col min="3056" max="3056" width="1.42578125" style="60" customWidth="1"/>
    <col min="3057" max="3057" width="31.85546875" style="60" customWidth="1"/>
    <col min="3058" max="3058" width="8.28515625" style="60" customWidth="1"/>
    <col min="3059" max="3059" width="9.7109375" style="60" customWidth="1"/>
    <col min="3060" max="3060" width="8.28515625" style="60" customWidth="1"/>
    <col min="3061" max="3061" width="6.5703125" style="60" customWidth="1"/>
    <col min="3062" max="3062" width="14" style="60" customWidth="1"/>
    <col min="3063" max="3063" width="6.7109375" style="60" customWidth="1"/>
    <col min="3064" max="3064" width="8.85546875" style="60" customWidth="1"/>
    <col min="3065" max="3065" width="7.7109375" style="60" customWidth="1"/>
    <col min="3066" max="3066" width="7.28515625" style="60" customWidth="1"/>
    <col min="3067" max="3067" width="7.7109375" style="60" customWidth="1"/>
    <col min="3068" max="3068" width="8.28515625" style="60" customWidth="1"/>
    <col min="3069" max="3070" width="6.7109375" style="60" customWidth="1"/>
    <col min="3071" max="3071" width="8.85546875" style="60" customWidth="1"/>
    <col min="3072" max="3073" width="7.5703125" style="60" customWidth="1"/>
    <col min="3074" max="3074" width="7.7109375" style="60" customWidth="1"/>
    <col min="3075" max="3076" width="8.28515625" style="60" customWidth="1"/>
    <col min="3077" max="3077" width="6.28515625" style="60" customWidth="1"/>
    <col min="3078" max="3079" width="8.7109375" style="60" customWidth="1"/>
    <col min="3080" max="3080" width="9.5703125" style="60" customWidth="1"/>
    <col min="3081" max="3081" width="8.7109375" style="60" customWidth="1"/>
    <col min="3082" max="3082" width="14.5703125" style="60" customWidth="1"/>
    <col min="3083" max="3083" width="8.7109375" style="60" customWidth="1"/>
    <col min="3084" max="3084" width="10.42578125" style="60" customWidth="1"/>
    <col min="3085" max="3087" width="8.7109375" style="60" customWidth="1"/>
    <col min="3088" max="3088" width="9" style="60"/>
    <col min="3089" max="3090" width="8.7109375" style="60" customWidth="1"/>
    <col min="3091" max="3091" width="4.28515625" style="60" customWidth="1"/>
    <col min="3092" max="3092" width="7" style="60" customWidth="1"/>
    <col min="3093" max="3093" width="4.28515625" style="60" customWidth="1"/>
    <col min="3094" max="3094" width="7.7109375" style="60" customWidth="1"/>
    <col min="3095" max="3311" width="9" style="60"/>
    <col min="3312" max="3312" width="1.42578125" style="60" customWidth="1"/>
    <col min="3313" max="3313" width="31.85546875" style="60" customWidth="1"/>
    <col min="3314" max="3314" width="8.28515625" style="60" customWidth="1"/>
    <col min="3315" max="3315" width="9.7109375" style="60" customWidth="1"/>
    <col min="3316" max="3316" width="8.28515625" style="60" customWidth="1"/>
    <col min="3317" max="3317" width="6.5703125" style="60" customWidth="1"/>
    <col min="3318" max="3318" width="14" style="60" customWidth="1"/>
    <col min="3319" max="3319" width="6.7109375" style="60" customWidth="1"/>
    <col min="3320" max="3320" width="8.85546875" style="60" customWidth="1"/>
    <col min="3321" max="3321" width="7.7109375" style="60" customWidth="1"/>
    <col min="3322" max="3322" width="7.28515625" style="60" customWidth="1"/>
    <col min="3323" max="3323" width="7.7109375" style="60" customWidth="1"/>
    <col min="3324" max="3324" width="8.28515625" style="60" customWidth="1"/>
    <col min="3325" max="3326" width="6.7109375" style="60" customWidth="1"/>
    <col min="3327" max="3327" width="8.85546875" style="60" customWidth="1"/>
    <col min="3328" max="3329" width="7.5703125" style="60" customWidth="1"/>
    <col min="3330" max="3330" width="7.7109375" style="60" customWidth="1"/>
    <col min="3331" max="3332" width="8.28515625" style="60" customWidth="1"/>
    <col min="3333" max="3333" width="6.28515625" style="60" customWidth="1"/>
    <col min="3334" max="3335" width="8.7109375" style="60" customWidth="1"/>
    <col min="3336" max="3336" width="9.5703125" style="60" customWidth="1"/>
    <col min="3337" max="3337" width="8.7109375" style="60" customWidth="1"/>
    <col min="3338" max="3338" width="14.5703125" style="60" customWidth="1"/>
    <col min="3339" max="3339" width="8.7109375" style="60" customWidth="1"/>
    <col min="3340" max="3340" width="10.42578125" style="60" customWidth="1"/>
    <col min="3341" max="3343" width="8.7109375" style="60" customWidth="1"/>
    <col min="3344" max="3344" width="9" style="60"/>
    <col min="3345" max="3346" width="8.7109375" style="60" customWidth="1"/>
    <col min="3347" max="3347" width="4.28515625" style="60" customWidth="1"/>
    <col min="3348" max="3348" width="7" style="60" customWidth="1"/>
    <col min="3349" max="3349" width="4.28515625" style="60" customWidth="1"/>
    <col min="3350" max="3350" width="7.7109375" style="60" customWidth="1"/>
    <col min="3351" max="3567" width="9" style="60"/>
    <col min="3568" max="3568" width="1.42578125" style="60" customWidth="1"/>
    <col min="3569" max="3569" width="31.85546875" style="60" customWidth="1"/>
    <col min="3570" max="3570" width="8.28515625" style="60" customWidth="1"/>
    <col min="3571" max="3571" width="9.7109375" style="60" customWidth="1"/>
    <col min="3572" max="3572" width="8.28515625" style="60" customWidth="1"/>
    <col min="3573" max="3573" width="6.5703125" style="60" customWidth="1"/>
    <col min="3574" max="3574" width="14" style="60" customWidth="1"/>
    <col min="3575" max="3575" width="6.7109375" style="60" customWidth="1"/>
    <col min="3576" max="3576" width="8.85546875" style="60" customWidth="1"/>
    <col min="3577" max="3577" width="7.7109375" style="60" customWidth="1"/>
    <col min="3578" max="3578" width="7.28515625" style="60" customWidth="1"/>
    <col min="3579" max="3579" width="7.7109375" style="60" customWidth="1"/>
    <col min="3580" max="3580" width="8.28515625" style="60" customWidth="1"/>
    <col min="3581" max="3582" width="6.7109375" style="60" customWidth="1"/>
    <col min="3583" max="3583" width="8.85546875" style="60" customWidth="1"/>
    <col min="3584" max="3585" width="7.5703125" style="60" customWidth="1"/>
    <col min="3586" max="3586" width="7.7109375" style="60" customWidth="1"/>
    <col min="3587" max="3588" width="8.28515625" style="60" customWidth="1"/>
    <col min="3589" max="3589" width="6.28515625" style="60" customWidth="1"/>
    <col min="3590" max="3591" width="8.7109375" style="60" customWidth="1"/>
    <col min="3592" max="3592" width="9.5703125" style="60" customWidth="1"/>
    <col min="3593" max="3593" width="8.7109375" style="60" customWidth="1"/>
    <col min="3594" max="3594" width="14.5703125" style="60" customWidth="1"/>
    <col min="3595" max="3595" width="8.7109375" style="60" customWidth="1"/>
    <col min="3596" max="3596" width="10.42578125" style="60" customWidth="1"/>
    <col min="3597" max="3599" width="8.7109375" style="60" customWidth="1"/>
    <col min="3600" max="3600" width="9" style="60"/>
    <col min="3601" max="3602" width="8.7109375" style="60" customWidth="1"/>
    <col min="3603" max="3603" width="4.28515625" style="60" customWidth="1"/>
    <col min="3604" max="3604" width="7" style="60" customWidth="1"/>
    <col min="3605" max="3605" width="4.28515625" style="60" customWidth="1"/>
    <col min="3606" max="3606" width="7.7109375" style="60" customWidth="1"/>
    <col min="3607" max="3823" width="9" style="60"/>
    <col min="3824" max="3824" width="1.42578125" style="60" customWidth="1"/>
    <col min="3825" max="3825" width="31.85546875" style="60" customWidth="1"/>
    <col min="3826" max="3826" width="8.28515625" style="60" customWidth="1"/>
    <col min="3827" max="3827" width="9.7109375" style="60" customWidth="1"/>
    <col min="3828" max="3828" width="8.28515625" style="60" customWidth="1"/>
    <col min="3829" max="3829" width="6.5703125" style="60" customWidth="1"/>
    <col min="3830" max="3830" width="14" style="60" customWidth="1"/>
    <col min="3831" max="3831" width="6.7109375" style="60" customWidth="1"/>
    <col min="3832" max="3832" width="8.85546875" style="60" customWidth="1"/>
    <col min="3833" max="3833" width="7.7109375" style="60" customWidth="1"/>
    <col min="3834" max="3834" width="7.28515625" style="60" customWidth="1"/>
    <col min="3835" max="3835" width="7.7109375" style="60" customWidth="1"/>
    <col min="3836" max="3836" width="8.28515625" style="60" customWidth="1"/>
    <col min="3837" max="3838" width="6.7109375" style="60" customWidth="1"/>
    <col min="3839" max="3839" width="8.85546875" style="60" customWidth="1"/>
    <col min="3840" max="3841" width="7.5703125" style="60" customWidth="1"/>
    <col min="3842" max="3842" width="7.7109375" style="60" customWidth="1"/>
    <col min="3843" max="3844" width="8.28515625" style="60" customWidth="1"/>
    <col min="3845" max="3845" width="6.28515625" style="60" customWidth="1"/>
    <col min="3846" max="3847" width="8.7109375" style="60" customWidth="1"/>
    <col min="3848" max="3848" width="9.5703125" style="60" customWidth="1"/>
    <col min="3849" max="3849" width="8.7109375" style="60" customWidth="1"/>
    <col min="3850" max="3850" width="14.5703125" style="60" customWidth="1"/>
    <col min="3851" max="3851" width="8.7109375" style="60" customWidth="1"/>
    <col min="3852" max="3852" width="10.42578125" style="60" customWidth="1"/>
    <col min="3853" max="3855" width="8.7109375" style="60" customWidth="1"/>
    <col min="3856" max="3856" width="9" style="60"/>
    <col min="3857" max="3858" width="8.7109375" style="60" customWidth="1"/>
    <col min="3859" max="3859" width="4.28515625" style="60" customWidth="1"/>
    <col min="3860" max="3860" width="7" style="60" customWidth="1"/>
    <col min="3861" max="3861" width="4.28515625" style="60" customWidth="1"/>
    <col min="3862" max="3862" width="7.7109375" style="60" customWidth="1"/>
    <col min="3863" max="4079" width="9" style="60"/>
    <col min="4080" max="4080" width="1.42578125" style="60" customWidth="1"/>
    <col min="4081" max="4081" width="31.85546875" style="60" customWidth="1"/>
    <col min="4082" max="4082" width="8.28515625" style="60" customWidth="1"/>
    <col min="4083" max="4083" width="9.7109375" style="60" customWidth="1"/>
    <col min="4084" max="4084" width="8.28515625" style="60" customWidth="1"/>
    <col min="4085" max="4085" width="6.5703125" style="60" customWidth="1"/>
    <col min="4086" max="4086" width="14" style="60" customWidth="1"/>
    <col min="4087" max="4087" width="6.7109375" style="60" customWidth="1"/>
    <col min="4088" max="4088" width="8.85546875" style="60" customWidth="1"/>
    <col min="4089" max="4089" width="7.7109375" style="60" customWidth="1"/>
    <col min="4090" max="4090" width="7.28515625" style="60" customWidth="1"/>
    <col min="4091" max="4091" width="7.7109375" style="60" customWidth="1"/>
    <col min="4092" max="4092" width="8.28515625" style="60" customWidth="1"/>
    <col min="4093" max="4094" width="6.7109375" style="60" customWidth="1"/>
    <col min="4095" max="4095" width="8.85546875" style="60" customWidth="1"/>
    <col min="4096" max="4097" width="7.5703125" style="60" customWidth="1"/>
    <col min="4098" max="4098" width="7.7109375" style="60" customWidth="1"/>
    <col min="4099" max="4100" width="8.28515625" style="60" customWidth="1"/>
    <col min="4101" max="4101" width="6.28515625" style="60" customWidth="1"/>
    <col min="4102" max="4103" width="8.7109375" style="60" customWidth="1"/>
    <col min="4104" max="4104" width="9.5703125" style="60" customWidth="1"/>
    <col min="4105" max="4105" width="8.7109375" style="60" customWidth="1"/>
    <col min="4106" max="4106" width="14.5703125" style="60" customWidth="1"/>
    <col min="4107" max="4107" width="8.7109375" style="60" customWidth="1"/>
    <col min="4108" max="4108" width="10.42578125" style="60" customWidth="1"/>
    <col min="4109" max="4111" width="8.7109375" style="60" customWidth="1"/>
    <col min="4112" max="4112" width="9" style="60"/>
    <col min="4113" max="4114" width="8.7109375" style="60" customWidth="1"/>
    <col min="4115" max="4115" width="4.28515625" style="60" customWidth="1"/>
    <col min="4116" max="4116" width="7" style="60" customWidth="1"/>
    <col min="4117" max="4117" width="4.28515625" style="60" customWidth="1"/>
    <col min="4118" max="4118" width="7.7109375" style="60" customWidth="1"/>
    <col min="4119" max="4335" width="9" style="60"/>
    <col min="4336" max="4336" width="1.42578125" style="60" customWidth="1"/>
    <col min="4337" max="4337" width="31.85546875" style="60" customWidth="1"/>
    <col min="4338" max="4338" width="8.28515625" style="60" customWidth="1"/>
    <col min="4339" max="4339" width="9.7109375" style="60" customWidth="1"/>
    <col min="4340" max="4340" width="8.28515625" style="60" customWidth="1"/>
    <col min="4341" max="4341" width="6.5703125" style="60" customWidth="1"/>
    <col min="4342" max="4342" width="14" style="60" customWidth="1"/>
    <col min="4343" max="4343" width="6.7109375" style="60" customWidth="1"/>
    <col min="4344" max="4344" width="8.85546875" style="60" customWidth="1"/>
    <col min="4345" max="4345" width="7.7109375" style="60" customWidth="1"/>
    <col min="4346" max="4346" width="7.28515625" style="60" customWidth="1"/>
    <col min="4347" max="4347" width="7.7109375" style="60" customWidth="1"/>
    <col min="4348" max="4348" width="8.28515625" style="60" customWidth="1"/>
    <col min="4349" max="4350" width="6.7109375" style="60" customWidth="1"/>
    <col min="4351" max="4351" width="8.85546875" style="60" customWidth="1"/>
    <col min="4352" max="4353" width="7.5703125" style="60" customWidth="1"/>
    <col min="4354" max="4354" width="7.7109375" style="60" customWidth="1"/>
    <col min="4355" max="4356" width="8.28515625" style="60" customWidth="1"/>
    <col min="4357" max="4357" width="6.28515625" style="60" customWidth="1"/>
    <col min="4358" max="4359" width="8.7109375" style="60" customWidth="1"/>
    <col min="4360" max="4360" width="9.5703125" style="60" customWidth="1"/>
    <col min="4361" max="4361" width="8.7109375" style="60" customWidth="1"/>
    <col min="4362" max="4362" width="14.5703125" style="60" customWidth="1"/>
    <col min="4363" max="4363" width="8.7109375" style="60" customWidth="1"/>
    <col min="4364" max="4364" width="10.42578125" style="60" customWidth="1"/>
    <col min="4365" max="4367" width="8.7109375" style="60" customWidth="1"/>
    <col min="4368" max="4368" width="9" style="60"/>
    <col min="4369" max="4370" width="8.7109375" style="60" customWidth="1"/>
    <col min="4371" max="4371" width="4.28515625" style="60" customWidth="1"/>
    <col min="4372" max="4372" width="7" style="60" customWidth="1"/>
    <col min="4373" max="4373" width="4.28515625" style="60" customWidth="1"/>
    <col min="4374" max="4374" width="7.7109375" style="60" customWidth="1"/>
    <col min="4375" max="4591" width="9" style="60"/>
    <col min="4592" max="4592" width="1.42578125" style="60" customWidth="1"/>
    <col min="4593" max="4593" width="31.85546875" style="60" customWidth="1"/>
    <col min="4594" max="4594" width="8.28515625" style="60" customWidth="1"/>
    <col min="4595" max="4595" width="9.7109375" style="60" customWidth="1"/>
    <col min="4596" max="4596" width="8.28515625" style="60" customWidth="1"/>
    <col min="4597" max="4597" width="6.5703125" style="60" customWidth="1"/>
    <col min="4598" max="4598" width="14" style="60" customWidth="1"/>
    <col min="4599" max="4599" width="6.7109375" style="60" customWidth="1"/>
    <col min="4600" max="4600" width="8.85546875" style="60" customWidth="1"/>
    <col min="4601" max="4601" width="7.7109375" style="60" customWidth="1"/>
    <col min="4602" max="4602" width="7.28515625" style="60" customWidth="1"/>
    <col min="4603" max="4603" width="7.7109375" style="60" customWidth="1"/>
    <col min="4604" max="4604" width="8.28515625" style="60" customWidth="1"/>
    <col min="4605" max="4606" width="6.7109375" style="60" customWidth="1"/>
    <col min="4607" max="4607" width="8.85546875" style="60" customWidth="1"/>
    <col min="4608" max="4609" width="7.5703125" style="60" customWidth="1"/>
    <col min="4610" max="4610" width="7.7109375" style="60" customWidth="1"/>
    <col min="4611" max="4612" width="8.28515625" style="60" customWidth="1"/>
    <col min="4613" max="4613" width="6.28515625" style="60" customWidth="1"/>
    <col min="4614" max="4615" width="8.7109375" style="60" customWidth="1"/>
    <col min="4616" max="4616" width="9.5703125" style="60" customWidth="1"/>
    <col min="4617" max="4617" width="8.7109375" style="60" customWidth="1"/>
    <col min="4618" max="4618" width="14.5703125" style="60" customWidth="1"/>
    <col min="4619" max="4619" width="8.7109375" style="60" customWidth="1"/>
    <col min="4620" max="4620" width="10.42578125" style="60" customWidth="1"/>
    <col min="4621" max="4623" width="8.7109375" style="60" customWidth="1"/>
    <col min="4624" max="4624" width="9" style="60"/>
    <col min="4625" max="4626" width="8.7109375" style="60" customWidth="1"/>
    <col min="4627" max="4627" width="4.28515625" style="60" customWidth="1"/>
    <col min="4628" max="4628" width="7" style="60" customWidth="1"/>
    <col min="4629" max="4629" width="4.28515625" style="60" customWidth="1"/>
    <col min="4630" max="4630" width="7.7109375" style="60" customWidth="1"/>
    <col min="4631" max="4847" width="9" style="60"/>
    <col min="4848" max="4848" width="1.42578125" style="60" customWidth="1"/>
    <col min="4849" max="4849" width="31.85546875" style="60" customWidth="1"/>
    <col min="4850" max="4850" width="8.28515625" style="60" customWidth="1"/>
    <col min="4851" max="4851" width="9.7109375" style="60" customWidth="1"/>
    <col min="4852" max="4852" width="8.28515625" style="60" customWidth="1"/>
    <col min="4853" max="4853" width="6.5703125" style="60" customWidth="1"/>
    <col min="4854" max="4854" width="14" style="60" customWidth="1"/>
    <col min="4855" max="4855" width="6.7109375" style="60" customWidth="1"/>
    <col min="4856" max="4856" width="8.85546875" style="60" customWidth="1"/>
    <col min="4857" max="4857" width="7.7109375" style="60" customWidth="1"/>
    <col min="4858" max="4858" width="7.28515625" style="60" customWidth="1"/>
    <col min="4859" max="4859" width="7.7109375" style="60" customWidth="1"/>
    <col min="4860" max="4860" width="8.28515625" style="60" customWidth="1"/>
    <col min="4861" max="4862" width="6.7109375" style="60" customWidth="1"/>
    <col min="4863" max="4863" width="8.85546875" style="60" customWidth="1"/>
    <col min="4864" max="4865" width="7.5703125" style="60" customWidth="1"/>
    <col min="4866" max="4866" width="7.7109375" style="60" customWidth="1"/>
    <col min="4867" max="4868" width="8.28515625" style="60" customWidth="1"/>
    <col min="4869" max="4869" width="6.28515625" style="60" customWidth="1"/>
    <col min="4870" max="4871" width="8.7109375" style="60" customWidth="1"/>
    <col min="4872" max="4872" width="9.5703125" style="60" customWidth="1"/>
    <col min="4873" max="4873" width="8.7109375" style="60" customWidth="1"/>
    <col min="4874" max="4874" width="14.5703125" style="60" customWidth="1"/>
    <col min="4875" max="4875" width="8.7109375" style="60" customWidth="1"/>
    <col min="4876" max="4876" width="10.42578125" style="60" customWidth="1"/>
    <col min="4877" max="4879" width="8.7109375" style="60" customWidth="1"/>
    <col min="4880" max="4880" width="9" style="60"/>
    <col min="4881" max="4882" width="8.7109375" style="60" customWidth="1"/>
    <col min="4883" max="4883" width="4.28515625" style="60" customWidth="1"/>
    <col min="4884" max="4884" width="7" style="60" customWidth="1"/>
    <col min="4885" max="4885" width="4.28515625" style="60" customWidth="1"/>
    <col min="4886" max="4886" width="7.7109375" style="60" customWidth="1"/>
    <col min="4887" max="5103" width="9" style="60"/>
    <col min="5104" max="5104" width="1.42578125" style="60" customWidth="1"/>
    <col min="5105" max="5105" width="31.85546875" style="60" customWidth="1"/>
    <col min="5106" max="5106" width="8.28515625" style="60" customWidth="1"/>
    <col min="5107" max="5107" width="9.7109375" style="60" customWidth="1"/>
    <col min="5108" max="5108" width="8.28515625" style="60" customWidth="1"/>
    <col min="5109" max="5109" width="6.5703125" style="60" customWidth="1"/>
    <col min="5110" max="5110" width="14" style="60" customWidth="1"/>
    <col min="5111" max="5111" width="6.7109375" style="60" customWidth="1"/>
    <col min="5112" max="5112" width="8.85546875" style="60" customWidth="1"/>
    <col min="5113" max="5113" width="7.7109375" style="60" customWidth="1"/>
    <col min="5114" max="5114" width="7.28515625" style="60" customWidth="1"/>
    <col min="5115" max="5115" width="7.7109375" style="60" customWidth="1"/>
    <col min="5116" max="5116" width="8.28515625" style="60" customWidth="1"/>
    <col min="5117" max="5118" width="6.7109375" style="60" customWidth="1"/>
    <col min="5119" max="5119" width="8.85546875" style="60" customWidth="1"/>
    <col min="5120" max="5121" width="7.5703125" style="60" customWidth="1"/>
    <col min="5122" max="5122" width="7.7109375" style="60" customWidth="1"/>
    <col min="5123" max="5124" width="8.28515625" style="60" customWidth="1"/>
    <col min="5125" max="5125" width="6.28515625" style="60" customWidth="1"/>
    <col min="5126" max="5127" width="8.7109375" style="60" customWidth="1"/>
    <col min="5128" max="5128" width="9.5703125" style="60" customWidth="1"/>
    <col min="5129" max="5129" width="8.7109375" style="60" customWidth="1"/>
    <col min="5130" max="5130" width="14.5703125" style="60" customWidth="1"/>
    <col min="5131" max="5131" width="8.7109375" style="60" customWidth="1"/>
    <col min="5132" max="5132" width="10.42578125" style="60" customWidth="1"/>
    <col min="5133" max="5135" width="8.7109375" style="60" customWidth="1"/>
    <col min="5136" max="5136" width="9" style="60"/>
    <col min="5137" max="5138" width="8.7109375" style="60" customWidth="1"/>
    <col min="5139" max="5139" width="4.28515625" style="60" customWidth="1"/>
    <col min="5140" max="5140" width="7" style="60" customWidth="1"/>
    <col min="5141" max="5141" width="4.28515625" style="60" customWidth="1"/>
    <col min="5142" max="5142" width="7.7109375" style="60" customWidth="1"/>
    <col min="5143" max="5359" width="9" style="60"/>
    <col min="5360" max="5360" width="1.42578125" style="60" customWidth="1"/>
    <col min="5361" max="5361" width="31.85546875" style="60" customWidth="1"/>
    <col min="5362" max="5362" width="8.28515625" style="60" customWidth="1"/>
    <col min="5363" max="5363" width="9.7109375" style="60" customWidth="1"/>
    <col min="5364" max="5364" width="8.28515625" style="60" customWidth="1"/>
    <col min="5365" max="5365" width="6.5703125" style="60" customWidth="1"/>
    <col min="5366" max="5366" width="14" style="60" customWidth="1"/>
    <col min="5367" max="5367" width="6.7109375" style="60" customWidth="1"/>
    <col min="5368" max="5368" width="8.85546875" style="60" customWidth="1"/>
    <col min="5369" max="5369" width="7.7109375" style="60" customWidth="1"/>
    <col min="5370" max="5370" width="7.28515625" style="60" customWidth="1"/>
    <col min="5371" max="5371" width="7.7109375" style="60" customWidth="1"/>
    <col min="5372" max="5372" width="8.28515625" style="60" customWidth="1"/>
    <col min="5373" max="5374" width="6.7109375" style="60" customWidth="1"/>
    <col min="5375" max="5375" width="8.85546875" style="60" customWidth="1"/>
    <col min="5376" max="5377" width="7.5703125" style="60" customWidth="1"/>
    <col min="5378" max="5378" width="7.7109375" style="60" customWidth="1"/>
    <col min="5379" max="5380" width="8.28515625" style="60" customWidth="1"/>
    <col min="5381" max="5381" width="6.28515625" style="60" customWidth="1"/>
    <col min="5382" max="5383" width="8.7109375" style="60" customWidth="1"/>
    <col min="5384" max="5384" width="9.5703125" style="60" customWidth="1"/>
    <col min="5385" max="5385" width="8.7109375" style="60" customWidth="1"/>
    <col min="5386" max="5386" width="14.5703125" style="60" customWidth="1"/>
    <col min="5387" max="5387" width="8.7109375" style="60" customWidth="1"/>
    <col min="5388" max="5388" width="10.42578125" style="60" customWidth="1"/>
    <col min="5389" max="5391" width="8.7109375" style="60" customWidth="1"/>
    <col min="5392" max="5392" width="9" style="60"/>
    <col min="5393" max="5394" width="8.7109375" style="60" customWidth="1"/>
    <col min="5395" max="5395" width="4.28515625" style="60" customWidth="1"/>
    <col min="5396" max="5396" width="7" style="60" customWidth="1"/>
    <col min="5397" max="5397" width="4.28515625" style="60" customWidth="1"/>
    <col min="5398" max="5398" width="7.7109375" style="60" customWidth="1"/>
    <col min="5399" max="5615" width="9" style="60"/>
    <col min="5616" max="5616" width="1.42578125" style="60" customWidth="1"/>
    <col min="5617" max="5617" width="31.85546875" style="60" customWidth="1"/>
    <col min="5618" max="5618" width="8.28515625" style="60" customWidth="1"/>
    <col min="5619" max="5619" width="9.7109375" style="60" customWidth="1"/>
    <col min="5620" max="5620" width="8.28515625" style="60" customWidth="1"/>
    <col min="5621" max="5621" width="6.5703125" style="60" customWidth="1"/>
    <col min="5622" max="5622" width="14" style="60" customWidth="1"/>
    <col min="5623" max="5623" width="6.7109375" style="60" customWidth="1"/>
    <col min="5624" max="5624" width="8.85546875" style="60" customWidth="1"/>
    <col min="5625" max="5625" width="7.7109375" style="60" customWidth="1"/>
    <col min="5626" max="5626" width="7.28515625" style="60" customWidth="1"/>
    <col min="5627" max="5627" width="7.7109375" style="60" customWidth="1"/>
    <col min="5628" max="5628" width="8.28515625" style="60" customWidth="1"/>
    <col min="5629" max="5630" width="6.7109375" style="60" customWidth="1"/>
    <col min="5631" max="5631" width="8.85546875" style="60" customWidth="1"/>
    <col min="5632" max="5633" width="7.5703125" style="60" customWidth="1"/>
    <col min="5634" max="5634" width="7.7109375" style="60" customWidth="1"/>
    <col min="5635" max="5636" width="8.28515625" style="60" customWidth="1"/>
    <col min="5637" max="5637" width="6.28515625" style="60" customWidth="1"/>
    <col min="5638" max="5639" width="8.7109375" style="60" customWidth="1"/>
    <col min="5640" max="5640" width="9.5703125" style="60" customWidth="1"/>
    <col min="5641" max="5641" width="8.7109375" style="60" customWidth="1"/>
    <col min="5642" max="5642" width="14.5703125" style="60" customWidth="1"/>
    <col min="5643" max="5643" width="8.7109375" style="60" customWidth="1"/>
    <col min="5644" max="5644" width="10.42578125" style="60" customWidth="1"/>
    <col min="5645" max="5647" width="8.7109375" style="60" customWidth="1"/>
    <col min="5648" max="5648" width="9" style="60"/>
    <col min="5649" max="5650" width="8.7109375" style="60" customWidth="1"/>
    <col min="5651" max="5651" width="4.28515625" style="60" customWidth="1"/>
    <col min="5652" max="5652" width="7" style="60" customWidth="1"/>
    <col min="5653" max="5653" width="4.28515625" style="60" customWidth="1"/>
    <col min="5654" max="5654" width="7.7109375" style="60" customWidth="1"/>
    <col min="5655" max="5871" width="9" style="60"/>
    <col min="5872" max="5872" width="1.42578125" style="60" customWidth="1"/>
    <col min="5873" max="5873" width="31.85546875" style="60" customWidth="1"/>
    <col min="5874" max="5874" width="8.28515625" style="60" customWidth="1"/>
    <col min="5875" max="5875" width="9.7109375" style="60" customWidth="1"/>
    <col min="5876" max="5876" width="8.28515625" style="60" customWidth="1"/>
    <col min="5877" max="5877" width="6.5703125" style="60" customWidth="1"/>
    <col min="5878" max="5878" width="14" style="60" customWidth="1"/>
    <col min="5879" max="5879" width="6.7109375" style="60" customWidth="1"/>
    <col min="5880" max="5880" width="8.85546875" style="60" customWidth="1"/>
    <col min="5881" max="5881" width="7.7109375" style="60" customWidth="1"/>
    <col min="5882" max="5882" width="7.28515625" style="60" customWidth="1"/>
    <col min="5883" max="5883" width="7.7109375" style="60" customWidth="1"/>
    <col min="5884" max="5884" width="8.28515625" style="60" customWidth="1"/>
    <col min="5885" max="5886" width="6.7109375" style="60" customWidth="1"/>
    <col min="5887" max="5887" width="8.85546875" style="60" customWidth="1"/>
    <col min="5888" max="5889" width="7.5703125" style="60" customWidth="1"/>
    <col min="5890" max="5890" width="7.7109375" style="60" customWidth="1"/>
    <col min="5891" max="5892" width="8.28515625" style="60" customWidth="1"/>
    <col min="5893" max="5893" width="6.28515625" style="60" customWidth="1"/>
    <col min="5894" max="5895" width="8.7109375" style="60" customWidth="1"/>
    <col min="5896" max="5896" width="9.5703125" style="60" customWidth="1"/>
    <col min="5897" max="5897" width="8.7109375" style="60" customWidth="1"/>
    <col min="5898" max="5898" width="14.5703125" style="60" customWidth="1"/>
    <col min="5899" max="5899" width="8.7109375" style="60" customWidth="1"/>
    <col min="5900" max="5900" width="10.42578125" style="60" customWidth="1"/>
    <col min="5901" max="5903" width="8.7109375" style="60" customWidth="1"/>
    <col min="5904" max="5904" width="9" style="60"/>
    <col min="5905" max="5906" width="8.7109375" style="60" customWidth="1"/>
    <col min="5907" max="5907" width="4.28515625" style="60" customWidth="1"/>
    <col min="5908" max="5908" width="7" style="60" customWidth="1"/>
    <col min="5909" max="5909" width="4.28515625" style="60" customWidth="1"/>
    <col min="5910" max="5910" width="7.7109375" style="60" customWidth="1"/>
    <col min="5911" max="6127" width="9" style="60"/>
    <col min="6128" max="6128" width="1.42578125" style="60" customWidth="1"/>
    <col min="6129" max="6129" width="31.85546875" style="60" customWidth="1"/>
    <col min="6130" max="6130" width="8.28515625" style="60" customWidth="1"/>
    <col min="6131" max="6131" width="9.7109375" style="60" customWidth="1"/>
    <col min="6132" max="6132" width="8.28515625" style="60" customWidth="1"/>
    <col min="6133" max="6133" width="6.5703125" style="60" customWidth="1"/>
    <col min="6134" max="6134" width="14" style="60" customWidth="1"/>
    <col min="6135" max="6135" width="6.7109375" style="60" customWidth="1"/>
    <col min="6136" max="6136" width="8.85546875" style="60" customWidth="1"/>
    <col min="6137" max="6137" width="7.7109375" style="60" customWidth="1"/>
    <col min="6138" max="6138" width="7.28515625" style="60" customWidth="1"/>
    <col min="6139" max="6139" width="7.7109375" style="60" customWidth="1"/>
    <col min="6140" max="6140" width="8.28515625" style="60" customWidth="1"/>
    <col min="6141" max="6142" width="6.7109375" style="60" customWidth="1"/>
    <col min="6143" max="6143" width="8.85546875" style="60" customWidth="1"/>
    <col min="6144" max="6145" width="7.5703125" style="60" customWidth="1"/>
    <col min="6146" max="6146" width="7.7109375" style="60" customWidth="1"/>
    <col min="6147" max="6148" width="8.28515625" style="60" customWidth="1"/>
    <col min="6149" max="6149" width="6.28515625" style="60" customWidth="1"/>
    <col min="6150" max="6151" width="8.7109375" style="60" customWidth="1"/>
    <col min="6152" max="6152" width="9.5703125" style="60" customWidth="1"/>
    <col min="6153" max="6153" width="8.7109375" style="60" customWidth="1"/>
    <col min="6154" max="6154" width="14.5703125" style="60" customWidth="1"/>
    <col min="6155" max="6155" width="8.7109375" style="60" customWidth="1"/>
    <col min="6156" max="6156" width="10.42578125" style="60" customWidth="1"/>
    <col min="6157" max="6159" width="8.7109375" style="60" customWidth="1"/>
    <col min="6160" max="6160" width="9" style="60"/>
    <col min="6161" max="6162" width="8.7109375" style="60" customWidth="1"/>
    <col min="6163" max="6163" width="4.28515625" style="60" customWidth="1"/>
    <col min="6164" max="6164" width="7" style="60" customWidth="1"/>
    <col min="6165" max="6165" width="4.28515625" style="60" customWidth="1"/>
    <col min="6166" max="6166" width="7.7109375" style="60" customWidth="1"/>
    <col min="6167" max="6383" width="9" style="60"/>
    <col min="6384" max="6384" width="1.42578125" style="60" customWidth="1"/>
    <col min="6385" max="6385" width="31.85546875" style="60" customWidth="1"/>
    <col min="6386" max="6386" width="8.28515625" style="60" customWidth="1"/>
    <col min="6387" max="6387" width="9.7109375" style="60" customWidth="1"/>
    <col min="6388" max="6388" width="8.28515625" style="60" customWidth="1"/>
    <col min="6389" max="6389" width="6.5703125" style="60" customWidth="1"/>
    <col min="6390" max="6390" width="14" style="60" customWidth="1"/>
    <col min="6391" max="6391" width="6.7109375" style="60" customWidth="1"/>
    <col min="6392" max="6392" width="8.85546875" style="60" customWidth="1"/>
    <col min="6393" max="6393" width="7.7109375" style="60" customWidth="1"/>
    <col min="6394" max="6394" width="7.28515625" style="60" customWidth="1"/>
    <col min="6395" max="6395" width="7.7109375" style="60" customWidth="1"/>
    <col min="6396" max="6396" width="8.28515625" style="60" customWidth="1"/>
    <col min="6397" max="6398" width="6.7109375" style="60" customWidth="1"/>
    <col min="6399" max="6399" width="8.85546875" style="60" customWidth="1"/>
    <col min="6400" max="6401" width="7.5703125" style="60" customWidth="1"/>
    <col min="6402" max="6402" width="7.7109375" style="60" customWidth="1"/>
    <col min="6403" max="6404" width="8.28515625" style="60" customWidth="1"/>
    <col min="6405" max="6405" width="6.28515625" style="60" customWidth="1"/>
    <col min="6406" max="6407" width="8.7109375" style="60" customWidth="1"/>
    <col min="6408" max="6408" width="9.5703125" style="60" customWidth="1"/>
    <col min="6409" max="6409" width="8.7109375" style="60" customWidth="1"/>
    <col min="6410" max="6410" width="14.5703125" style="60" customWidth="1"/>
    <col min="6411" max="6411" width="8.7109375" style="60" customWidth="1"/>
    <col min="6412" max="6412" width="10.42578125" style="60" customWidth="1"/>
    <col min="6413" max="6415" width="8.7109375" style="60" customWidth="1"/>
    <col min="6416" max="6416" width="9" style="60"/>
    <col min="6417" max="6418" width="8.7109375" style="60" customWidth="1"/>
    <col min="6419" max="6419" width="4.28515625" style="60" customWidth="1"/>
    <col min="6420" max="6420" width="7" style="60" customWidth="1"/>
    <col min="6421" max="6421" width="4.28515625" style="60" customWidth="1"/>
    <col min="6422" max="6422" width="7.7109375" style="60" customWidth="1"/>
    <col min="6423" max="6639" width="9" style="60"/>
    <col min="6640" max="6640" width="1.42578125" style="60" customWidth="1"/>
    <col min="6641" max="6641" width="31.85546875" style="60" customWidth="1"/>
    <col min="6642" max="6642" width="8.28515625" style="60" customWidth="1"/>
    <col min="6643" max="6643" width="9.7109375" style="60" customWidth="1"/>
    <col min="6644" max="6644" width="8.28515625" style="60" customWidth="1"/>
    <col min="6645" max="6645" width="6.5703125" style="60" customWidth="1"/>
    <col min="6646" max="6646" width="14" style="60" customWidth="1"/>
    <col min="6647" max="6647" width="6.7109375" style="60" customWidth="1"/>
    <col min="6648" max="6648" width="8.85546875" style="60" customWidth="1"/>
    <col min="6649" max="6649" width="7.7109375" style="60" customWidth="1"/>
    <col min="6650" max="6650" width="7.28515625" style="60" customWidth="1"/>
    <col min="6651" max="6651" width="7.7109375" style="60" customWidth="1"/>
    <col min="6652" max="6652" width="8.28515625" style="60" customWidth="1"/>
    <col min="6653" max="6654" width="6.7109375" style="60" customWidth="1"/>
    <col min="6655" max="6655" width="8.85546875" style="60" customWidth="1"/>
    <col min="6656" max="6657" width="7.5703125" style="60" customWidth="1"/>
    <col min="6658" max="6658" width="7.7109375" style="60" customWidth="1"/>
    <col min="6659" max="6660" width="8.28515625" style="60" customWidth="1"/>
    <col min="6661" max="6661" width="6.28515625" style="60" customWidth="1"/>
    <col min="6662" max="6663" width="8.7109375" style="60" customWidth="1"/>
    <col min="6664" max="6664" width="9.5703125" style="60" customWidth="1"/>
    <col min="6665" max="6665" width="8.7109375" style="60" customWidth="1"/>
    <col min="6666" max="6666" width="14.5703125" style="60" customWidth="1"/>
    <col min="6667" max="6667" width="8.7109375" style="60" customWidth="1"/>
    <col min="6668" max="6668" width="10.42578125" style="60" customWidth="1"/>
    <col min="6669" max="6671" width="8.7109375" style="60" customWidth="1"/>
    <col min="6672" max="6672" width="9" style="60"/>
    <col min="6673" max="6674" width="8.7109375" style="60" customWidth="1"/>
    <col min="6675" max="6675" width="4.28515625" style="60" customWidth="1"/>
    <col min="6676" max="6676" width="7" style="60" customWidth="1"/>
    <col min="6677" max="6677" width="4.28515625" style="60" customWidth="1"/>
    <col min="6678" max="6678" width="7.7109375" style="60" customWidth="1"/>
    <col min="6679" max="6895" width="9" style="60"/>
    <col min="6896" max="6896" width="1.42578125" style="60" customWidth="1"/>
    <col min="6897" max="6897" width="31.85546875" style="60" customWidth="1"/>
    <col min="6898" max="6898" width="8.28515625" style="60" customWidth="1"/>
    <col min="6899" max="6899" width="9.7109375" style="60" customWidth="1"/>
    <col min="6900" max="6900" width="8.28515625" style="60" customWidth="1"/>
    <col min="6901" max="6901" width="6.5703125" style="60" customWidth="1"/>
    <col min="6902" max="6902" width="14" style="60" customWidth="1"/>
    <col min="6903" max="6903" width="6.7109375" style="60" customWidth="1"/>
    <col min="6904" max="6904" width="8.85546875" style="60" customWidth="1"/>
    <col min="6905" max="6905" width="7.7109375" style="60" customWidth="1"/>
    <col min="6906" max="6906" width="7.28515625" style="60" customWidth="1"/>
    <col min="6907" max="6907" width="7.7109375" style="60" customWidth="1"/>
    <col min="6908" max="6908" width="8.28515625" style="60" customWidth="1"/>
    <col min="6909" max="6910" width="6.7109375" style="60" customWidth="1"/>
    <col min="6911" max="6911" width="8.85546875" style="60" customWidth="1"/>
    <col min="6912" max="6913" width="7.5703125" style="60" customWidth="1"/>
    <col min="6914" max="6914" width="7.7109375" style="60" customWidth="1"/>
    <col min="6915" max="6916" width="8.28515625" style="60" customWidth="1"/>
    <col min="6917" max="6917" width="6.28515625" style="60" customWidth="1"/>
    <col min="6918" max="6919" width="8.7109375" style="60" customWidth="1"/>
    <col min="6920" max="6920" width="9.5703125" style="60" customWidth="1"/>
    <col min="6921" max="6921" width="8.7109375" style="60" customWidth="1"/>
    <col min="6922" max="6922" width="14.5703125" style="60" customWidth="1"/>
    <col min="6923" max="6923" width="8.7109375" style="60" customWidth="1"/>
    <col min="6924" max="6924" width="10.42578125" style="60" customWidth="1"/>
    <col min="6925" max="6927" width="8.7109375" style="60" customWidth="1"/>
    <col min="6928" max="6928" width="9" style="60"/>
    <col min="6929" max="6930" width="8.7109375" style="60" customWidth="1"/>
    <col min="6931" max="6931" width="4.28515625" style="60" customWidth="1"/>
    <col min="6932" max="6932" width="7" style="60" customWidth="1"/>
    <col min="6933" max="6933" width="4.28515625" style="60" customWidth="1"/>
    <col min="6934" max="6934" width="7.7109375" style="60" customWidth="1"/>
    <col min="6935" max="7151" width="9" style="60"/>
    <col min="7152" max="7152" width="1.42578125" style="60" customWidth="1"/>
    <col min="7153" max="7153" width="31.85546875" style="60" customWidth="1"/>
    <col min="7154" max="7154" width="8.28515625" style="60" customWidth="1"/>
    <col min="7155" max="7155" width="9.7109375" style="60" customWidth="1"/>
    <col min="7156" max="7156" width="8.28515625" style="60" customWidth="1"/>
    <col min="7157" max="7157" width="6.5703125" style="60" customWidth="1"/>
    <col min="7158" max="7158" width="14" style="60" customWidth="1"/>
    <col min="7159" max="7159" width="6.7109375" style="60" customWidth="1"/>
    <col min="7160" max="7160" width="8.85546875" style="60" customWidth="1"/>
    <col min="7161" max="7161" width="7.7109375" style="60" customWidth="1"/>
    <col min="7162" max="7162" width="7.28515625" style="60" customWidth="1"/>
    <col min="7163" max="7163" width="7.7109375" style="60" customWidth="1"/>
    <col min="7164" max="7164" width="8.28515625" style="60" customWidth="1"/>
    <col min="7165" max="7166" width="6.7109375" style="60" customWidth="1"/>
    <col min="7167" max="7167" width="8.85546875" style="60" customWidth="1"/>
    <col min="7168" max="7169" width="7.5703125" style="60" customWidth="1"/>
    <col min="7170" max="7170" width="7.7109375" style="60" customWidth="1"/>
    <col min="7171" max="7172" width="8.28515625" style="60" customWidth="1"/>
    <col min="7173" max="7173" width="6.28515625" style="60" customWidth="1"/>
    <col min="7174" max="7175" width="8.7109375" style="60" customWidth="1"/>
    <col min="7176" max="7176" width="9.5703125" style="60" customWidth="1"/>
    <col min="7177" max="7177" width="8.7109375" style="60" customWidth="1"/>
    <col min="7178" max="7178" width="14.5703125" style="60" customWidth="1"/>
    <col min="7179" max="7179" width="8.7109375" style="60" customWidth="1"/>
    <col min="7180" max="7180" width="10.42578125" style="60" customWidth="1"/>
    <col min="7181" max="7183" width="8.7109375" style="60" customWidth="1"/>
    <col min="7184" max="7184" width="9" style="60"/>
    <col min="7185" max="7186" width="8.7109375" style="60" customWidth="1"/>
    <col min="7187" max="7187" width="4.28515625" style="60" customWidth="1"/>
    <col min="7188" max="7188" width="7" style="60" customWidth="1"/>
    <col min="7189" max="7189" width="4.28515625" style="60" customWidth="1"/>
    <col min="7190" max="7190" width="7.7109375" style="60" customWidth="1"/>
    <col min="7191" max="7407" width="9" style="60"/>
    <col min="7408" max="7408" width="1.42578125" style="60" customWidth="1"/>
    <col min="7409" max="7409" width="31.85546875" style="60" customWidth="1"/>
    <col min="7410" max="7410" width="8.28515625" style="60" customWidth="1"/>
    <col min="7411" max="7411" width="9.7109375" style="60" customWidth="1"/>
    <col min="7412" max="7412" width="8.28515625" style="60" customWidth="1"/>
    <col min="7413" max="7413" width="6.5703125" style="60" customWidth="1"/>
    <col min="7414" max="7414" width="14" style="60" customWidth="1"/>
    <col min="7415" max="7415" width="6.7109375" style="60" customWidth="1"/>
    <col min="7416" max="7416" width="8.85546875" style="60" customWidth="1"/>
    <col min="7417" max="7417" width="7.7109375" style="60" customWidth="1"/>
    <col min="7418" max="7418" width="7.28515625" style="60" customWidth="1"/>
    <col min="7419" max="7419" width="7.7109375" style="60" customWidth="1"/>
    <col min="7420" max="7420" width="8.28515625" style="60" customWidth="1"/>
    <col min="7421" max="7422" width="6.7109375" style="60" customWidth="1"/>
    <col min="7423" max="7423" width="8.85546875" style="60" customWidth="1"/>
    <col min="7424" max="7425" width="7.5703125" style="60" customWidth="1"/>
    <col min="7426" max="7426" width="7.7109375" style="60" customWidth="1"/>
    <col min="7427" max="7428" width="8.28515625" style="60" customWidth="1"/>
    <col min="7429" max="7429" width="6.28515625" style="60" customWidth="1"/>
    <col min="7430" max="7431" width="8.7109375" style="60" customWidth="1"/>
    <col min="7432" max="7432" width="9.5703125" style="60" customWidth="1"/>
    <col min="7433" max="7433" width="8.7109375" style="60" customWidth="1"/>
    <col min="7434" max="7434" width="14.5703125" style="60" customWidth="1"/>
    <col min="7435" max="7435" width="8.7109375" style="60" customWidth="1"/>
    <col min="7436" max="7436" width="10.42578125" style="60" customWidth="1"/>
    <col min="7437" max="7439" width="8.7109375" style="60" customWidth="1"/>
    <col min="7440" max="7440" width="9" style="60"/>
    <col min="7441" max="7442" width="8.7109375" style="60" customWidth="1"/>
    <col min="7443" max="7443" width="4.28515625" style="60" customWidth="1"/>
    <col min="7444" max="7444" width="7" style="60" customWidth="1"/>
    <col min="7445" max="7445" width="4.28515625" style="60" customWidth="1"/>
    <col min="7446" max="7446" width="7.7109375" style="60" customWidth="1"/>
    <col min="7447" max="7663" width="9" style="60"/>
    <col min="7664" max="7664" width="1.42578125" style="60" customWidth="1"/>
    <col min="7665" max="7665" width="31.85546875" style="60" customWidth="1"/>
    <col min="7666" max="7666" width="8.28515625" style="60" customWidth="1"/>
    <col min="7667" max="7667" width="9.7109375" style="60" customWidth="1"/>
    <col min="7668" max="7668" width="8.28515625" style="60" customWidth="1"/>
    <col min="7669" max="7669" width="6.5703125" style="60" customWidth="1"/>
    <col min="7670" max="7670" width="14" style="60" customWidth="1"/>
    <col min="7671" max="7671" width="6.7109375" style="60" customWidth="1"/>
    <col min="7672" max="7672" width="8.85546875" style="60" customWidth="1"/>
    <col min="7673" max="7673" width="7.7109375" style="60" customWidth="1"/>
    <col min="7674" max="7674" width="7.28515625" style="60" customWidth="1"/>
    <col min="7675" max="7675" width="7.7109375" style="60" customWidth="1"/>
    <col min="7676" max="7676" width="8.28515625" style="60" customWidth="1"/>
    <col min="7677" max="7678" width="6.7109375" style="60" customWidth="1"/>
    <col min="7679" max="7679" width="8.85546875" style="60" customWidth="1"/>
    <col min="7680" max="7681" width="7.5703125" style="60" customWidth="1"/>
    <col min="7682" max="7682" width="7.7109375" style="60" customWidth="1"/>
    <col min="7683" max="7684" width="8.28515625" style="60" customWidth="1"/>
    <col min="7685" max="7685" width="6.28515625" style="60" customWidth="1"/>
    <col min="7686" max="7687" width="8.7109375" style="60" customWidth="1"/>
    <col min="7688" max="7688" width="9.5703125" style="60" customWidth="1"/>
    <col min="7689" max="7689" width="8.7109375" style="60" customWidth="1"/>
    <col min="7690" max="7690" width="14.5703125" style="60" customWidth="1"/>
    <col min="7691" max="7691" width="8.7109375" style="60" customWidth="1"/>
    <col min="7692" max="7692" width="10.42578125" style="60" customWidth="1"/>
    <col min="7693" max="7695" width="8.7109375" style="60" customWidth="1"/>
    <col min="7696" max="7696" width="9" style="60"/>
    <col min="7697" max="7698" width="8.7109375" style="60" customWidth="1"/>
    <col min="7699" max="7699" width="4.28515625" style="60" customWidth="1"/>
    <col min="7700" max="7700" width="7" style="60" customWidth="1"/>
    <col min="7701" max="7701" width="4.28515625" style="60" customWidth="1"/>
    <col min="7702" max="7702" width="7.7109375" style="60" customWidth="1"/>
    <col min="7703" max="7919" width="9" style="60"/>
    <col min="7920" max="7920" width="1.42578125" style="60" customWidth="1"/>
    <col min="7921" max="7921" width="31.85546875" style="60" customWidth="1"/>
    <col min="7922" max="7922" width="8.28515625" style="60" customWidth="1"/>
    <col min="7923" max="7923" width="9.7109375" style="60" customWidth="1"/>
    <col min="7924" max="7924" width="8.28515625" style="60" customWidth="1"/>
    <col min="7925" max="7925" width="6.5703125" style="60" customWidth="1"/>
    <col min="7926" max="7926" width="14" style="60" customWidth="1"/>
    <col min="7927" max="7927" width="6.7109375" style="60" customWidth="1"/>
    <col min="7928" max="7928" width="8.85546875" style="60" customWidth="1"/>
    <col min="7929" max="7929" width="7.7109375" style="60" customWidth="1"/>
    <col min="7930" max="7930" width="7.28515625" style="60" customWidth="1"/>
    <col min="7931" max="7931" width="7.7109375" style="60" customWidth="1"/>
    <col min="7932" max="7932" width="8.28515625" style="60" customWidth="1"/>
    <col min="7933" max="7934" width="6.7109375" style="60" customWidth="1"/>
    <col min="7935" max="7935" width="8.85546875" style="60" customWidth="1"/>
    <col min="7936" max="7937" width="7.5703125" style="60" customWidth="1"/>
    <col min="7938" max="7938" width="7.7109375" style="60" customWidth="1"/>
    <col min="7939" max="7940" width="8.28515625" style="60" customWidth="1"/>
    <col min="7941" max="7941" width="6.28515625" style="60" customWidth="1"/>
    <col min="7942" max="7943" width="8.7109375" style="60" customWidth="1"/>
    <col min="7944" max="7944" width="9.5703125" style="60" customWidth="1"/>
    <col min="7945" max="7945" width="8.7109375" style="60" customWidth="1"/>
    <col min="7946" max="7946" width="14.5703125" style="60" customWidth="1"/>
    <col min="7947" max="7947" width="8.7109375" style="60" customWidth="1"/>
    <col min="7948" max="7948" width="10.42578125" style="60" customWidth="1"/>
    <col min="7949" max="7951" width="8.7109375" style="60" customWidth="1"/>
    <col min="7952" max="7952" width="9" style="60"/>
    <col min="7953" max="7954" width="8.7109375" style="60" customWidth="1"/>
    <col min="7955" max="7955" width="4.28515625" style="60" customWidth="1"/>
    <col min="7956" max="7956" width="7" style="60" customWidth="1"/>
    <col min="7957" max="7957" width="4.28515625" style="60" customWidth="1"/>
    <col min="7958" max="7958" width="7.7109375" style="60" customWidth="1"/>
    <col min="7959" max="8175" width="9" style="60"/>
    <col min="8176" max="8176" width="1.42578125" style="60" customWidth="1"/>
    <col min="8177" max="8177" width="31.85546875" style="60" customWidth="1"/>
    <col min="8178" max="8178" width="8.28515625" style="60" customWidth="1"/>
    <col min="8179" max="8179" width="9.7109375" style="60" customWidth="1"/>
    <col min="8180" max="8180" width="8.28515625" style="60" customWidth="1"/>
    <col min="8181" max="8181" width="6.5703125" style="60" customWidth="1"/>
    <col min="8182" max="8182" width="14" style="60" customWidth="1"/>
    <col min="8183" max="8183" width="6.7109375" style="60" customWidth="1"/>
    <col min="8184" max="8184" width="8.85546875" style="60" customWidth="1"/>
    <col min="8185" max="8185" width="7.7109375" style="60" customWidth="1"/>
    <col min="8186" max="8186" width="7.28515625" style="60" customWidth="1"/>
    <col min="8187" max="8187" width="7.7109375" style="60" customWidth="1"/>
    <col min="8188" max="8188" width="8.28515625" style="60" customWidth="1"/>
    <col min="8189" max="8190" width="6.7109375" style="60" customWidth="1"/>
    <col min="8191" max="8191" width="8.85546875" style="60" customWidth="1"/>
    <col min="8192" max="8193" width="7.5703125" style="60" customWidth="1"/>
    <col min="8194" max="8194" width="7.7109375" style="60" customWidth="1"/>
    <col min="8195" max="8196" width="8.28515625" style="60" customWidth="1"/>
    <col min="8197" max="8197" width="6.28515625" style="60" customWidth="1"/>
    <col min="8198" max="8199" width="8.7109375" style="60" customWidth="1"/>
    <col min="8200" max="8200" width="9.5703125" style="60" customWidth="1"/>
    <col min="8201" max="8201" width="8.7109375" style="60" customWidth="1"/>
    <col min="8202" max="8202" width="14.5703125" style="60" customWidth="1"/>
    <col min="8203" max="8203" width="8.7109375" style="60" customWidth="1"/>
    <col min="8204" max="8204" width="10.42578125" style="60" customWidth="1"/>
    <col min="8205" max="8207" width="8.7109375" style="60" customWidth="1"/>
    <col min="8208" max="8208" width="9" style="60"/>
    <col min="8209" max="8210" width="8.7109375" style="60" customWidth="1"/>
    <col min="8211" max="8211" width="4.28515625" style="60" customWidth="1"/>
    <col min="8212" max="8212" width="7" style="60" customWidth="1"/>
    <col min="8213" max="8213" width="4.28515625" style="60" customWidth="1"/>
    <col min="8214" max="8214" width="7.7109375" style="60" customWidth="1"/>
    <col min="8215" max="8431" width="9" style="60"/>
    <col min="8432" max="8432" width="1.42578125" style="60" customWidth="1"/>
    <col min="8433" max="8433" width="31.85546875" style="60" customWidth="1"/>
    <col min="8434" max="8434" width="8.28515625" style="60" customWidth="1"/>
    <col min="8435" max="8435" width="9.7109375" style="60" customWidth="1"/>
    <col min="8436" max="8436" width="8.28515625" style="60" customWidth="1"/>
    <col min="8437" max="8437" width="6.5703125" style="60" customWidth="1"/>
    <col min="8438" max="8438" width="14" style="60" customWidth="1"/>
    <col min="8439" max="8439" width="6.7109375" style="60" customWidth="1"/>
    <col min="8440" max="8440" width="8.85546875" style="60" customWidth="1"/>
    <col min="8441" max="8441" width="7.7109375" style="60" customWidth="1"/>
    <col min="8442" max="8442" width="7.28515625" style="60" customWidth="1"/>
    <col min="8443" max="8443" width="7.7109375" style="60" customWidth="1"/>
    <col min="8444" max="8444" width="8.28515625" style="60" customWidth="1"/>
    <col min="8445" max="8446" width="6.7109375" style="60" customWidth="1"/>
    <col min="8447" max="8447" width="8.85546875" style="60" customWidth="1"/>
    <col min="8448" max="8449" width="7.5703125" style="60" customWidth="1"/>
    <col min="8450" max="8450" width="7.7109375" style="60" customWidth="1"/>
    <col min="8451" max="8452" width="8.28515625" style="60" customWidth="1"/>
    <col min="8453" max="8453" width="6.28515625" style="60" customWidth="1"/>
    <col min="8454" max="8455" width="8.7109375" style="60" customWidth="1"/>
    <col min="8456" max="8456" width="9.5703125" style="60" customWidth="1"/>
    <col min="8457" max="8457" width="8.7109375" style="60" customWidth="1"/>
    <col min="8458" max="8458" width="14.5703125" style="60" customWidth="1"/>
    <col min="8459" max="8459" width="8.7109375" style="60" customWidth="1"/>
    <col min="8460" max="8460" width="10.42578125" style="60" customWidth="1"/>
    <col min="8461" max="8463" width="8.7109375" style="60" customWidth="1"/>
    <col min="8464" max="8464" width="9" style="60"/>
    <col min="8465" max="8466" width="8.7109375" style="60" customWidth="1"/>
    <col min="8467" max="8467" width="4.28515625" style="60" customWidth="1"/>
    <col min="8468" max="8468" width="7" style="60" customWidth="1"/>
    <col min="8469" max="8469" width="4.28515625" style="60" customWidth="1"/>
    <col min="8470" max="8470" width="7.7109375" style="60" customWidth="1"/>
    <col min="8471" max="8687" width="9" style="60"/>
    <col min="8688" max="8688" width="1.42578125" style="60" customWidth="1"/>
    <col min="8689" max="8689" width="31.85546875" style="60" customWidth="1"/>
    <col min="8690" max="8690" width="8.28515625" style="60" customWidth="1"/>
    <col min="8691" max="8691" width="9.7109375" style="60" customWidth="1"/>
    <col min="8692" max="8692" width="8.28515625" style="60" customWidth="1"/>
    <col min="8693" max="8693" width="6.5703125" style="60" customWidth="1"/>
    <col min="8694" max="8694" width="14" style="60" customWidth="1"/>
    <col min="8695" max="8695" width="6.7109375" style="60" customWidth="1"/>
    <col min="8696" max="8696" width="8.85546875" style="60" customWidth="1"/>
    <col min="8697" max="8697" width="7.7109375" style="60" customWidth="1"/>
    <col min="8698" max="8698" width="7.28515625" style="60" customWidth="1"/>
    <col min="8699" max="8699" width="7.7109375" style="60" customWidth="1"/>
    <col min="8700" max="8700" width="8.28515625" style="60" customWidth="1"/>
    <col min="8701" max="8702" width="6.7109375" style="60" customWidth="1"/>
    <col min="8703" max="8703" width="8.85546875" style="60" customWidth="1"/>
    <col min="8704" max="8705" width="7.5703125" style="60" customWidth="1"/>
    <col min="8706" max="8706" width="7.7109375" style="60" customWidth="1"/>
    <col min="8707" max="8708" width="8.28515625" style="60" customWidth="1"/>
    <col min="8709" max="8709" width="6.28515625" style="60" customWidth="1"/>
    <col min="8710" max="8711" width="8.7109375" style="60" customWidth="1"/>
    <col min="8712" max="8712" width="9.5703125" style="60" customWidth="1"/>
    <col min="8713" max="8713" width="8.7109375" style="60" customWidth="1"/>
    <col min="8714" max="8714" width="14.5703125" style="60" customWidth="1"/>
    <col min="8715" max="8715" width="8.7109375" style="60" customWidth="1"/>
    <col min="8716" max="8716" width="10.42578125" style="60" customWidth="1"/>
    <col min="8717" max="8719" width="8.7109375" style="60" customWidth="1"/>
    <col min="8720" max="8720" width="9" style="60"/>
    <col min="8721" max="8722" width="8.7109375" style="60" customWidth="1"/>
    <col min="8723" max="8723" width="4.28515625" style="60" customWidth="1"/>
    <col min="8724" max="8724" width="7" style="60" customWidth="1"/>
    <col min="8725" max="8725" width="4.28515625" style="60" customWidth="1"/>
    <col min="8726" max="8726" width="7.7109375" style="60" customWidth="1"/>
    <col min="8727" max="8943" width="9" style="60"/>
    <col min="8944" max="8944" width="1.42578125" style="60" customWidth="1"/>
    <col min="8945" max="8945" width="31.85546875" style="60" customWidth="1"/>
    <col min="8946" max="8946" width="8.28515625" style="60" customWidth="1"/>
    <col min="8947" max="8947" width="9.7109375" style="60" customWidth="1"/>
    <col min="8948" max="8948" width="8.28515625" style="60" customWidth="1"/>
    <col min="8949" max="8949" width="6.5703125" style="60" customWidth="1"/>
    <col min="8950" max="8950" width="14" style="60" customWidth="1"/>
    <col min="8951" max="8951" width="6.7109375" style="60" customWidth="1"/>
    <col min="8952" max="8952" width="8.85546875" style="60" customWidth="1"/>
    <col min="8953" max="8953" width="7.7109375" style="60" customWidth="1"/>
    <col min="8954" max="8954" width="7.28515625" style="60" customWidth="1"/>
    <col min="8955" max="8955" width="7.7109375" style="60" customWidth="1"/>
    <col min="8956" max="8956" width="8.28515625" style="60" customWidth="1"/>
    <col min="8957" max="8958" width="6.7109375" style="60" customWidth="1"/>
    <col min="8959" max="8959" width="8.85546875" style="60" customWidth="1"/>
    <col min="8960" max="8961" width="7.5703125" style="60" customWidth="1"/>
    <col min="8962" max="8962" width="7.7109375" style="60" customWidth="1"/>
    <col min="8963" max="8964" width="8.28515625" style="60" customWidth="1"/>
    <col min="8965" max="8965" width="6.28515625" style="60" customWidth="1"/>
    <col min="8966" max="8967" width="8.7109375" style="60" customWidth="1"/>
    <col min="8968" max="8968" width="9.5703125" style="60" customWidth="1"/>
    <col min="8969" max="8969" width="8.7109375" style="60" customWidth="1"/>
    <col min="8970" max="8970" width="14.5703125" style="60" customWidth="1"/>
    <col min="8971" max="8971" width="8.7109375" style="60" customWidth="1"/>
    <col min="8972" max="8972" width="10.42578125" style="60" customWidth="1"/>
    <col min="8973" max="8975" width="8.7109375" style="60" customWidth="1"/>
    <col min="8976" max="8976" width="9" style="60"/>
    <col min="8977" max="8978" width="8.7109375" style="60" customWidth="1"/>
    <col min="8979" max="8979" width="4.28515625" style="60" customWidth="1"/>
    <col min="8980" max="8980" width="7" style="60" customWidth="1"/>
    <col min="8981" max="8981" width="4.28515625" style="60" customWidth="1"/>
    <col min="8982" max="8982" width="7.7109375" style="60" customWidth="1"/>
    <col min="8983" max="9199" width="9" style="60"/>
    <col min="9200" max="9200" width="1.42578125" style="60" customWidth="1"/>
    <col min="9201" max="9201" width="31.85546875" style="60" customWidth="1"/>
    <col min="9202" max="9202" width="8.28515625" style="60" customWidth="1"/>
    <col min="9203" max="9203" width="9.7109375" style="60" customWidth="1"/>
    <col min="9204" max="9204" width="8.28515625" style="60" customWidth="1"/>
    <col min="9205" max="9205" width="6.5703125" style="60" customWidth="1"/>
    <col min="9206" max="9206" width="14" style="60" customWidth="1"/>
    <col min="9207" max="9207" width="6.7109375" style="60" customWidth="1"/>
    <col min="9208" max="9208" width="8.85546875" style="60" customWidth="1"/>
    <col min="9209" max="9209" width="7.7109375" style="60" customWidth="1"/>
    <col min="9210" max="9210" width="7.28515625" style="60" customWidth="1"/>
    <col min="9211" max="9211" width="7.7109375" style="60" customWidth="1"/>
    <col min="9212" max="9212" width="8.28515625" style="60" customWidth="1"/>
    <col min="9213" max="9214" width="6.7109375" style="60" customWidth="1"/>
    <col min="9215" max="9215" width="8.85546875" style="60" customWidth="1"/>
    <col min="9216" max="9217" width="7.5703125" style="60" customWidth="1"/>
    <col min="9218" max="9218" width="7.7109375" style="60" customWidth="1"/>
    <col min="9219" max="9220" width="8.28515625" style="60" customWidth="1"/>
    <col min="9221" max="9221" width="6.28515625" style="60" customWidth="1"/>
    <col min="9222" max="9223" width="8.7109375" style="60" customWidth="1"/>
    <col min="9224" max="9224" width="9.5703125" style="60" customWidth="1"/>
    <col min="9225" max="9225" width="8.7109375" style="60" customWidth="1"/>
    <col min="9226" max="9226" width="14.5703125" style="60" customWidth="1"/>
    <col min="9227" max="9227" width="8.7109375" style="60" customWidth="1"/>
    <col min="9228" max="9228" width="10.42578125" style="60" customWidth="1"/>
    <col min="9229" max="9231" width="8.7109375" style="60" customWidth="1"/>
    <col min="9232" max="9232" width="9" style="60"/>
    <col min="9233" max="9234" width="8.7109375" style="60" customWidth="1"/>
    <col min="9235" max="9235" width="4.28515625" style="60" customWidth="1"/>
    <col min="9236" max="9236" width="7" style="60" customWidth="1"/>
    <col min="9237" max="9237" width="4.28515625" style="60" customWidth="1"/>
    <col min="9238" max="9238" width="7.7109375" style="60" customWidth="1"/>
    <col min="9239" max="9455" width="9" style="60"/>
    <col min="9456" max="9456" width="1.42578125" style="60" customWidth="1"/>
    <col min="9457" max="9457" width="31.85546875" style="60" customWidth="1"/>
    <col min="9458" max="9458" width="8.28515625" style="60" customWidth="1"/>
    <col min="9459" max="9459" width="9.7109375" style="60" customWidth="1"/>
    <col min="9460" max="9460" width="8.28515625" style="60" customWidth="1"/>
    <col min="9461" max="9461" width="6.5703125" style="60" customWidth="1"/>
    <col min="9462" max="9462" width="14" style="60" customWidth="1"/>
    <col min="9463" max="9463" width="6.7109375" style="60" customWidth="1"/>
    <col min="9464" max="9464" width="8.85546875" style="60" customWidth="1"/>
    <col min="9465" max="9465" width="7.7109375" style="60" customWidth="1"/>
    <col min="9466" max="9466" width="7.28515625" style="60" customWidth="1"/>
    <col min="9467" max="9467" width="7.7109375" style="60" customWidth="1"/>
    <col min="9468" max="9468" width="8.28515625" style="60" customWidth="1"/>
    <col min="9469" max="9470" width="6.7109375" style="60" customWidth="1"/>
    <col min="9471" max="9471" width="8.85546875" style="60" customWidth="1"/>
    <col min="9472" max="9473" width="7.5703125" style="60" customWidth="1"/>
    <col min="9474" max="9474" width="7.7109375" style="60" customWidth="1"/>
    <col min="9475" max="9476" width="8.28515625" style="60" customWidth="1"/>
    <col min="9477" max="9477" width="6.28515625" style="60" customWidth="1"/>
    <col min="9478" max="9479" width="8.7109375" style="60" customWidth="1"/>
    <col min="9480" max="9480" width="9.5703125" style="60" customWidth="1"/>
    <col min="9481" max="9481" width="8.7109375" style="60" customWidth="1"/>
    <col min="9482" max="9482" width="14.5703125" style="60" customWidth="1"/>
    <col min="9483" max="9483" width="8.7109375" style="60" customWidth="1"/>
    <col min="9484" max="9484" width="10.42578125" style="60" customWidth="1"/>
    <col min="9485" max="9487" width="8.7109375" style="60" customWidth="1"/>
    <col min="9488" max="9488" width="9" style="60"/>
    <col min="9489" max="9490" width="8.7109375" style="60" customWidth="1"/>
    <col min="9491" max="9491" width="4.28515625" style="60" customWidth="1"/>
    <col min="9492" max="9492" width="7" style="60" customWidth="1"/>
    <col min="9493" max="9493" width="4.28515625" style="60" customWidth="1"/>
    <col min="9494" max="9494" width="7.7109375" style="60" customWidth="1"/>
    <col min="9495" max="9711" width="9" style="60"/>
    <col min="9712" max="9712" width="1.42578125" style="60" customWidth="1"/>
    <col min="9713" max="9713" width="31.85546875" style="60" customWidth="1"/>
    <col min="9714" max="9714" width="8.28515625" style="60" customWidth="1"/>
    <col min="9715" max="9715" width="9.7109375" style="60" customWidth="1"/>
    <col min="9716" max="9716" width="8.28515625" style="60" customWidth="1"/>
    <col min="9717" max="9717" width="6.5703125" style="60" customWidth="1"/>
    <col min="9718" max="9718" width="14" style="60" customWidth="1"/>
    <col min="9719" max="9719" width="6.7109375" style="60" customWidth="1"/>
    <col min="9720" max="9720" width="8.85546875" style="60" customWidth="1"/>
    <col min="9721" max="9721" width="7.7109375" style="60" customWidth="1"/>
    <col min="9722" max="9722" width="7.28515625" style="60" customWidth="1"/>
    <col min="9723" max="9723" width="7.7109375" style="60" customWidth="1"/>
    <col min="9724" max="9724" width="8.28515625" style="60" customWidth="1"/>
    <col min="9725" max="9726" width="6.7109375" style="60" customWidth="1"/>
    <col min="9727" max="9727" width="8.85546875" style="60" customWidth="1"/>
    <col min="9728" max="9729" width="7.5703125" style="60" customWidth="1"/>
    <col min="9730" max="9730" width="7.7109375" style="60" customWidth="1"/>
    <col min="9731" max="9732" width="8.28515625" style="60" customWidth="1"/>
    <col min="9733" max="9733" width="6.28515625" style="60" customWidth="1"/>
    <col min="9734" max="9735" width="8.7109375" style="60" customWidth="1"/>
    <col min="9736" max="9736" width="9.5703125" style="60" customWidth="1"/>
    <col min="9737" max="9737" width="8.7109375" style="60" customWidth="1"/>
    <col min="9738" max="9738" width="14.5703125" style="60" customWidth="1"/>
    <col min="9739" max="9739" width="8.7109375" style="60" customWidth="1"/>
    <col min="9740" max="9740" width="10.42578125" style="60" customWidth="1"/>
    <col min="9741" max="9743" width="8.7109375" style="60" customWidth="1"/>
    <col min="9744" max="9744" width="9" style="60"/>
    <col min="9745" max="9746" width="8.7109375" style="60" customWidth="1"/>
    <col min="9747" max="9747" width="4.28515625" style="60" customWidth="1"/>
    <col min="9748" max="9748" width="7" style="60" customWidth="1"/>
    <col min="9749" max="9749" width="4.28515625" style="60" customWidth="1"/>
    <col min="9750" max="9750" width="7.7109375" style="60" customWidth="1"/>
    <col min="9751" max="9967" width="9" style="60"/>
    <col min="9968" max="9968" width="1.42578125" style="60" customWidth="1"/>
    <col min="9969" max="9969" width="31.85546875" style="60" customWidth="1"/>
    <col min="9970" max="9970" width="8.28515625" style="60" customWidth="1"/>
    <col min="9971" max="9971" width="9.7109375" style="60" customWidth="1"/>
    <col min="9972" max="9972" width="8.28515625" style="60" customWidth="1"/>
    <col min="9973" max="9973" width="6.5703125" style="60" customWidth="1"/>
    <col min="9974" max="9974" width="14" style="60" customWidth="1"/>
    <col min="9975" max="9975" width="6.7109375" style="60" customWidth="1"/>
    <col min="9976" max="9976" width="8.85546875" style="60" customWidth="1"/>
    <col min="9977" max="9977" width="7.7109375" style="60" customWidth="1"/>
    <col min="9978" max="9978" width="7.28515625" style="60" customWidth="1"/>
    <col min="9979" max="9979" width="7.7109375" style="60" customWidth="1"/>
    <col min="9980" max="9980" width="8.28515625" style="60" customWidth="1"/>
    <col min="9981" max="9982" width="6.7109375" style="60" customWidth="1"/>
    <col min="9983" max="9983" width="8.85546875" style="60" customWidth="1"/>
    <col min="9984" max="9985" width="7.5703125" style="60" customWidth="1"/>
    <col min="9986" max="9986" width="7.7109375" style="60" customWidth="1"/>
    <col min="9987" max="9988" width="8.28515625" style="60" customWidth="1"/>
    <col min="9989" max="9989" width="6.28515625" style="60" customWidth="1"/>
    <col min="9990" max="9991" width="8.7109375" style="60" customWidth="1"/>
    <col min="9992" max="9992" width="9.5703125" style="60" customWidth="1"/>
    <col min="9993" max="9993" width="8.7109375" style="60" customWidth="1"/>
    <col min="9994" max="9994" width="14.5703125" style="60" customWidth="1"/>
    <col min="9995" max="9995" width="8.7109375" style="60" customWidth="1"/>
    <col min="9996" max="9996" width="10.42578125" style="60" customWidth="1"/>
    <col min="9997" max="9999" width="8.7109375" style="60" customWidth="1"/>
    <col min="10000" max="10000" width="9" style="60"/>
    <col min="10001" max="10002" width="8.7109375" style="60" customWidth="1"/>
    <col min="10003" max="10003" width="4.28515625" style="60" customWidth="1"/>
    <col min="10004" max="10004" width="7" style="60" customWidth="1"/>
    <col min="10005" max="10005" width="4.28515625" style="60" customWidth="1"/>
    <col min="10006" max="10006" width="7.7109375" style="60" customWidth="1"/>
    <col min="10007" max="10223" width="9" style="60"/>
    <col min="10224" max="10224" width="1.42578125" style="60" customWidth="1"/>
    <col min="10225" max="10225" width="31.85546875" style="60" customWidth="1"/>
    <col min="10226" max="10226" width="8.28515625" style="60" customWidth="1"/>
    <col min="10227" max="10227" width="9.7109375" style="60" customWidth="1"/>
    <col min="10228" max="10228" width="8.28515625" style="60" customWidth="1"/>
    <col min="10229" max="10229" width="6.5703125" style="60" customWidth="1"/>
    <col min="10230" max="10230" width="14" style="60" customWidth="1"/>
    <col min="10231" max="10231" width="6.7109375" style="60" customWidth="1"/>
    <col min="10232" max="10232" width="8.85546875" style="60" customWidth="1"/>
    <col min="10233" max="10233" width="7.7109375" style="60" customWidth="1"/>
    <col min="10234" max="10234" width="7.28515625" style="60" customWidth="1"/>
    <col min="10235" max="10235" width="7.7109375" style="60" customWidth="1"/>
    <col min="10236" max="10236" width="8.28515625" style="60" customWidth="1"/>
    <col min="10237" max="10238" width="6.7109375" style="60" customWidth="1"/>
    <col min="10239" max="10239" width="8.85546875" style="60" customWidth="1"/>
    <col min="10240" max="10241" width="7.5703125" style="60" customWidth="1"/>
    <col min="10242" max="10242" width="7.7109375" style="60" customWidth="1"/>
    <col min="10243" max="10244" width="8.28515625" style="60" customWidth="1"/>
    <col min="10245" max="10245" width="6.28515625" style="60" customWidth="1"/>
    <col min="10246" max="10247" width="8.7109375" style="60" customWidth="1"/>
    <col min="10248" max="10248" width="9.5703125" style="60" customWidth="1"/>
    <col min="10249" max="10249" width="8.7109375" style="60" customWidth="1"/>
    <col min="10250" max="10250" width="14.5703125" style="60" customWidth="1"/>
    <col min="10251" max="10251" width="8.7109375" style="60" customWidth="1"/>
    <col min="10252" max="10252" width="10.42578125" style="60" customWidth="1"/>
    <col min="10253" max="10255" width="8.7109375" style="60" customWidth="1"/>
    <col min="10256" max="10256" width="9" style="60"/>
    <col min="10257" max="10258" width="8.7109375" style="60" customWidth="1"/>
    <col min="10259" max="10259" width="4.28515625" style="60" customWidth="1"/>
    <col min="10260" max="10260" width="7" style="60" customWidth="1"/>
    <col min="10261" max="10261" width="4.28515625" style="60" customWidth="1"/>
    <col min="10262" max="10262" width="7.7109375" style="60" customWidth="1"/>
    <col min="10263" max="10479" width="9" style="60"/>
    <col min="10480" max="10480" width="1.42578125" style="60" customWidth="1"/>
    <col min="10481" max="10481" width="31.85546875" style="60" customWidth="1"/>
    <col min="10482" max="10482" width="8.28515625" style="60" customWidth="1"/>
    <col min="10483" max="10483" width="9.7109375" style="60" customWidth="1"/>
    <col min="10484" max="10484" width="8.28515625" style="60" customWidth="1"/>
    <col min="10485" max="10485" width="6.5703125" style="60" customWidth="1"/>
    <col min="10486" max="10486" width="14" style="60" customWidth="1"/>
    <col min="10487" max="10487" width="6.7109375" style="60" customWidth="1"/>
    <col min="10488" max="10488" width="8.85546875" style="60" customWidth="1"/>
    <col min="10489" max="10489" width="7.7109375" style="60" customWidth="1"/>
    <col min="10490" max="10490" width="7.28515625" style="60" customWidth="1"/>
    <col min="10491" max="10491" width="7.7109375" style="60" customWidth="1"/>
    <col min="10492" max="10492" width="8.28515625" style="60" customWidth="1"/>
    <col min="10493" max="10494" width="6.7109375" style="60" customWidth="1"/>
    <col min="10495" max="10495" width="8.85546875" style="60" customWidth="1"/>
    <col min="10496" max="10497" width="7.5703125" style="60" customWidth="1"/>
    <col min="10498" max="10498" width="7.7109375" style="60" customWidth="1"/>
    <col min="10499" max="10500" width="8.28515625" style="60" customWidth="1"/>
    <col min="10501" max="10501" width="6.28515625" style="60" customWidth="1"/>
    <col min="10502" max="10503" width="8.7109375" style="60" customWidth="1"/>
    <col min="10504" max="10504" width="9.5703125" style="60" customWidth="1"/>
    <col min="10505" max="10505" width="8.7109375" style="60" customWidth="1"/>
    <col min="10506" max="10506" width="14.5703125" style="60" customWidth="1"/>
    <col min="10507" max="10507" width="8.7109375" style="60" customWidth="1"/>
    <col min="10508" max="10508" width="10.42578125" style="60" customWidth="1"/>
    <col min="10509" max="10511" width="8.7109375" style="60" customWidth="1"/>
    <col min="10512" max="10512" width="9" style="60"/>
    <col min="10513" max="10514" width="8.7109375" style="60" customWidth="1"/>
    <col min="10515" max="10515" width="4.28515625" style="60" customWidth="1"/>
    <col min="10516" max="10516" width="7" style="60" customWidth="1"/>
    <col min="10517" max="10517" width="4.28515625" style="60" customWidth="1"/>
    <col min="10518" max="10518" width="7.7109375" style="60" customWidth="1"/>
    <col min="10519" max="10735" width="9" style="60"/>
    <col min="10736" max="10736" width="1.42578125" style="60" customWidth="1"/>
    <col min="10737" max="10737" width="31.85546875" style="60" customWidth="1"/>
    <col min="10738" max="10738" width="8.28515625" style="60" customWidth="1"/>
    <col min="10739" max="10739" width="9.7109375" style="60" customWidth="1"/>
    <col min="10740" max="10740" width="8.28515625" style="60" customWidth="1"/>
    <col min="10741" max="10741" width="6.5703125" style="60" customWidth="1"/>
    <col min="10742" max="10742" width="14" style="60" customWidth="1"/>
    <col min="10743" max="10743" width="6.7109375" style="60" customWidth="1"/>
    <col min="10744" max="10744" width="8.85546875" style="60" customWidth="1"/>
    <col min="10745" max="10745" width="7.7109375" style="60" customWidth="1"/>
    <col min="10746" max="10746" width="7.28515625" style="60" customWidth="1"/>
    <col min="10747" max="10747" width="7.7109375" style="60" customWidth="1"/>
    <col min="10748" max="10748" width="8.28515625" style="60" customWidth="1"/>
    <col min="10749" max="10750" width="6.7109375" style="60" customWidth="1"/>
    <col min="10751" max="10751" width="8.85546875" style="60" customWidth="1"/>
    <col min="10752" max="10753" width="7.5703125" style="60" customWidth="1"/>
    <col min="10754" max="10754" width="7.7109375" style="60" customWidth="1"/>
    <col min="10755" max="10756" width="8.28515625" style="60" customWidth="1"/>
    <col min="10757" max="10757" width="6.28515625" style="60" customWidth="1"/>
    <col min="10758" max="10759" width="8.7109375" style="60" customWidth="1"/>
    <col min="10760" max="10760" width="9.5703125" style="60" customWidth="1"/>
    <col min="10761" max="10761" width="8.7109375" style="60" customWidth="1"/>
    <col min="10762" max="10762" width="14.5703125" style="60" customWidth="1"/>
    <col min="10763" max="10763" width="8.7109375" style="60" customWidth="1"/>
    <col min="10764" max="10764" width="10.42578125" style="60" customWidth="1"/>
    <col min="10765" max="10767" width="8.7109375" style="60" customWidth="1"/>
    <col min="10768" max="10768" width="9" style="60"/>
    <col min="10769" max="10770" width="8.7109375" style="60" customWidth="1"/>
    <col min="10771" max="10771" width="4.28515625" style="60" customWidth="1"/>
    <col min="10772" max="10772" width="7" style="60" customWidth="1"/>
    <col min="10773" max="10773" width="4.28515625" style="60" customWidth="1"/>
    <col min="10774" max="10774" width="7.7109375" style="60" customWidth="1"/>
    <col min="10775" max="10991" width="9" style="60"/>
    <col min="10992" max="10992" width="1.42578125" style="60" customWidth="1"/>
    <col min="10993" max="10993" width="31.85546875" style="60" customWidth="1"/>
    <col min="10994" max="10994" width="8.28515625" style="60" customWidth="1"/>
    <col min="10995" max="10995" width="9.7109375" style="60" customWidth="1"/>
    <col min="10996" max="10996" width="8.28515625" style="60" customWidth="1"/>
    <col min="10997" max="10997" width="6.5703125" style="60" customWidth="1"/>
    <col min="10998" max="10998" width="14" style="60" customWidth="1"/>
    <col min="10999" max="10999" width="6.7109375" style="60" customWidth="1"/>
    <col min="11000" max="11000" width="8.85546875" style="60" customWidth="1"/>
    <col min="11001" max="11001" width="7.7109375" style="60" customWidth="1"/>
    <col min="11002" max="11002" width="7.28515625" style="60" customWidth="1"/>
    <col min="11003" max="11003" width="7.7109375" style="60" customWidth="1"/>
    <col min="11004" max="11004" width="8.28515625" style="60" customWidth="1"/>
    <col min="11005" max="11006" width="6.7109375" style="60" customWidth="1"/>
    <col min="11007" max="11007" width="8.85546875" style="60" customWidth="1"/>
    <col min="11008" max="11009" width="7.5703125" style="60" customWidth="1"/>
    <col min="11010" max="11010" width="7.7109375" style="60" customWidth="1"/>
    <col min="11011" max="11012" width="8.28515625" style="60" customWidth="1"/>
    <col min="11013" max="11013" width="6.28515625" style="60" customWidth="1"/>
    <col min="11014" max="11015" width="8.7109375" style="60" customWidth="1"/>
    <col min="11016" max="11016" width="9.5703125" style="60" customWidth="1"/>
    <col min="11017" max="11017" width="8.7109375" style="60" customWidth="1"/>
    <col min="11018" max="11018" width="14.5703125" style="60" customWidth="1"/>
    <col min="11019" max="11019" width="8.7109375" style="60" customWidth="1"/>
    <col min="11020" max="11020" width="10.42578125" style="60" customWidth="1"/>
    <col min="11021" max="11023" width="8.7109375" style="60" customWidth="1"/>
    <col min="11024" max="11024" width="9" style="60"/>
    <col min="11025" max="11026" width="8.7109375" style="60" customWidth="1"/>
    <col min="11027" max="11027" width="4.28515625" style="60" customWidth="1"/>
    <col min="11028" max="11028" width="7" style="60" customWidth="1"/>
    <col min="11029" max="11029" width="4.28515625" style="60" customWidth="1"/>
    <col min="11030" max="11030" width="7.7109375" style="60" customWidth="1"/>
    <col min="11031" max="11247" width="9" style="60"/>
    <col min="11248" max="11248" width="1.42578125" style="60" customWidth="1"/>
    <col min="11249" max="11249" width="31.85546875" style="60" customWidth="1"/>
    <col min="11250" max="11250" width="8.28515625" style="60" customWidth="1"/>
    <col min="11251" max="11251" width="9.7109375" style="60" customWidth="1"/>
    <col min="11252" max="11252" width="8.28515625" style="60" customWidth="1"/>
    <col min="11253" max="11253" width="6.5703125" style="60" customWidth="1"/>
    <col min="11254" max="11254" width="14" style="60" customWidth="1"/>
    <col min="11255" max="11255" width="6.7109375" style="60" customWidth="1"/>
    <col min="11256" max="11256" width="8.85546875" style="60" customWidth="1"/>
    <col min="11257" max="11257" width="7.7109375" style="60" customWidth="1"/>
    <col min="11258" max="11258" width="7.28515625" style="60" customWidth="1"/>
    <col min="11259" max="11259" width="7.7109375" style="60" customWidth="1"/>
    <col min="11260" max="11260" width="8.28515625" style="60" customWidth="1"/>
    <col min="11261" max="11262" width="6.7109375" style="60" customWidth="1"/>
    <col min="11263" max="11263" width="8.85546875" style="60" customWidth="1"/>
    <col min="11264" max="11265" width="7.5703125" style="60" customWidth="1"/>
    <col min="11266" max="11266" width="7.7109375" style="60" customWidth="1"/>
    <col min="11267" max="11268" width="8.28515625" style="60" customWidth="1"/>
    <col min="11269" max="11269" width="6.28515625" style="60" customWidth="1"/>
    <col min="11270" max="11271" width="8.7109375" style="60" customWidth="1"/>
    <col min="11272" max="11272" width="9.5703125" style="60" customWidth="1"/>
    <col min="11273" max="11273" width="8.7109375" style="60" customWidth="1"/>
    <col min="11274" max="11274" width="14.5703125" style="60" customWidth="1"/>
    <col min="11275" max="11275" width="8.7109375" style="60" customWidth="1"/>
    <col min="11276" max="11276" width="10.42578125" style="60" customWidth="1"/>
    <col min="11277" max="11279" width="8.7109375" style="60" customWidth="1"/>
    <col min="11280" max="11280" width="9" style="60"/>
    <col min="11281" max="11282" width="8.7109375" style="60" customWidth="1"/>
    <col min="11283" max="11283" width="4.28515625" style="60" customWidth="1"/>
    <col min="11284" max="11284" width="7" style="60" customWidth="1"/>
    <col min="11285" max="11285" width="4.28515625" style="60" customWidth="1"/>
    <col min="11286" max="11286" width="7.7109375" style="60" customWidth="1"/>
    <col min="11287" max="11503" width="9" style="60"/>
    <col min="11504" max="11504" width="1.42578125" style="60" customWidth="1"/>
    <col min="11505" max="11505" width="31.85546875" style="60" customWidth="1"/>
    <col min="11506" max="11506" width="8.28515625" style="60" customWidth="1"/>
    <col min="11507" max="11507" width="9.7109375" style="60" customWidth="1"/>
    <col min="11508" max="11508" width="8.28515625" style="60" customWidth="1"/>
    <col min="11509" max="11509" width="6.5703125" style="60" customWidth="1"/>
    <col min="11510" max="11510" width="14" style="60" customWidth="1"/>
    <col min="11511" max="11511" width="6.7109375" style="60" customWidth="1"/>
    <col min="11512" max="11512" width="8.85546875" style="60" customWidth="1"/>
    <col min="11513" max="11513" width="7.7109375" style="60" customWidth="1"/>
    <col min="11514" max="11514" width="7.28515625" style="60" customWidth="1"/>
    <col min="11515" max="11515" width="7.7109375" style="60" customWidth="1"/>
    <col min="11516" max="11516" width="8.28515625" style="60" customWidth="1"/>
    <col min="11517" max="11518" width="6.7109375" style="60" customWidth="1"/>
    <col min="11519" max="11519" width="8.85546875" style="60" customWidth="1"/>
    <col min="11520" max="11521" width="7.5703125" style="60" customWidth="1"/>
    <col min="11522" max="11522" width="7.7109375" style="60" customWidth="1"/>
    <col min="11523" max="11524" width="8.28515625" style="60" customWidth="1"/>
    <col min="11525" max="11525" width="6.28515625" style="60" customWidth="1"/>
    <col min="11526" max="11527" width="8.7109375" style="60" customWidth="1"/>
    <col min="11528" max="11528" width="9.5703125" style="60" customWidth="1"/>
    <col min="11529" max="11529" width="8.7109375" style="60" customWidth="1"/>
    <col min="11530" max="11530" width="14.5703125" style="60" customWidth="1"/>
    <col min="11531" max="11531" width="8.7109375" style="60" customWidth="1"/>
    <col min="11532" max="11532" width="10.42578125" style="60" customWidth="1"/>
    <col min="11533" max="11535" width="8.7109375" style="60" customWidth="1"/>
    <col min="11536" max="11536" width="9" style="60"/>
    <col min="11537" max="11538" width="8.7109375" style="60" customWidth="1"/>
    <col min="11539" max="11539" width="4.28515625" style="60" customWidth="1"/>
    <col min="11540" max="11540" width="7" style="60" customWidth="1"/>
    <col min="11541" max="11541" width="4.28515625" style="60" customWidth="1"/>
    <col min="11542" max="11542" width="7.7109375" style="60" customWidth="1"/>
    <col min="11543" max="11759" width="9" style="60"/>
    <col min="11760" max="11760" width="1.42578125" style="60" customWidth="1"/>
    <col min="11761" max="11761" width="31.85546875" style="60" customWidth="1"/>
    <col min="11762" max="11762" width="8.28515625" style="60" customWidth="1"/>
    <col min="11763" max="11763" width="9.7109375" style="60" customWidth="1"/>
    <col min="11764" max="11764" width="8.28515625" style="60" customWidth="1"/>
    <col min="11765" max="11765" width="6.5703125" style="60" customWidth="1"/>
    <col min="11766" max="11766" width="14" style="60" customWidth="1"/>
    <col min="11767" max="11767" width="6.7109375" style="60" customWidth="1"/>
    <col min="11768" max="11768" width="8.85546875" style="60" customWidth="1"/>
    <col min="11769" max="11769" width="7.7109375" style="60" customWidth="1"/>
    <col min="11770" max="11770" width="7.28515625" style="60" customWidth="1"/>
    <col min="11771" max="11771" width="7.7109375" style="60" customWidth="1"/>
    <col min="11772" max="11772" width="8.28515625" style="60" customWidth="1"/>
    <col min="11773" max="11774" width="6.7109375" style="60" customWidth="1"/>
    <col min="11775" max="11775" width="8.85546875" style="60" customWidth="1"/>
    <col min="11776" max="11777" width="7.5703125" style="60" customWidth="1"/>
    <col min="11778" max="11778" width="7.7109375" style="60" customWidth="1"/>
    <col min="11779" max="11780" width="8.28515625" style="60" customWidth="1"/>
    <col min="11781" max="11781" width="6.28515625" style="60" customWidth="1"/>
    <col min="11782" max="11783" width="8.7109375" style="60" customWidth="1"/>
    <col min="11784" max="11784" width="9.5703125" style="60" customWidth="1"/>
    <col min="11785" max="11785" width="8.7109375" style="60" customWidth="1"/>
    <col min="11786" max="11786" width="14.5703125" style="60" customWidth="1"/>
    <col min="11787" max="11787" width="8.7109375" style="60" customWidth="1"/>
    <col min="11788" max="11788" width="10.42578125" style="60" customWidth="1"/>
    <col min="11789" max="11791" width="8.7109375" style="60" customWidth="1"/>
    <col min="11792" max="11792" width="9" style="60"/>
    <col min="11793" max="11794" width="8.7109375" style="60" customWidth="1"/>
    <col min="11795" max="11795" width="4.28515625" style="60" customWidth="1"/>
    <col min="11796" max="11796" width="7" style="60" customWidth="1"/>
    <col min="11797" max="11797" width="4.28515625" style="60" customWidth="1"/>
    <col min="11798" max="11798" width="7.7109375" style="60" customWidth="1"/>
    <col min="11799" max="12015" width="9" style="60"/>
    <col min="12016" max="12016" width="1.42578125" style="60" customWidth="1"/>
    <col min="12017" max="12017" width="31.85546875" style="60" customWidth="1"/>
    <col min="12018" max="12018" width="8.28515625" style="60" customWidth="1"/>
    <col min="12019" max="12019" width="9.7109375" style="60" customWidth="1"/>
    <col min="12020" max="12020" width="8.28515625" style="60" customWidth="1"/>
    <col min="12021" max="12021" width="6.5703125" style="60" customWidth="1"/>
    <col min="12022" max="12022" width="14" style="60" customWidth="1"/>
    <col min="12023" max="12023" width="6.7109375" style="60" customWidth="1"/>
    <col min="12024" max="12024" width="8.85546875" style="60" customWidth="1"/>
    <col min="12025" max="12025" width="7.7109375" style="60" customWidth="1"/>
    <col min="12026" max="12026" width="7.28515625" style="60" customWidth="1"/>
    <col min="12027" max="12027" width="7.7109375" style="60" customWidth="1"/>
    <col min="12028" max="12028" width="8.28515625" style="60" customWidth="1"/>
    <col min="12029" max="12030" width="6.7109375" style="60" customWidth="1"/>
    <col min="12031" max="12031" width="8.85546875" style="60" customWidth="1"/>
    <col min="12032" max="12033" width="7.5703125" style="60" customWidth="1"/>
    <col min="12034" max="12034" width="7.7109375" style="60" customWidth="1"/>
    <col min="12035" max="12036" width="8.28515625" style="60" customWidth="1"/>
    <col min="12037" max="12037" width="6.28515625" style="60" customWidth="1"/>
    <col min="12038" max="12039" width="8.7109375" style="60" customWidth="1"/>
    <col min="12040" max="12040" width="9.5703125" style="60" customWidth="1"/>
    <col min="12041" max="12041" width="8.7109375" style="60" customWidth="1"/>
    <col min="12042" max="12042" width="14.5703125" style="60" customWidth="1"/>
    <col min="12043" max="12043" width="8.7109375" style="60" customWidth="1"/>
    <col min="12044" max="12044" width="10.42578125" style="60" customWidth="1"/>
    <col min="12045" max="12047" width="8.7109375" style="60" customWidth="1"/>
    <col min="12048" max="12048" width="9" style="60"/>
    <col min="12049" max="12050" width="8.7109375" style="60" customWidth="1"/>
    <col min="12051" max="12051" width="4.28515625" style="60" customWidth="1"/>
    <col min="12052" max="12052" width="7" style="60" customWidth="1"/>
    <col min="12053" max="12053" width="4.28515625" style="60" customWidth="1"/>
    <col min="12054" max="12054" width="7.7109375" style="60" customWidth="1"/>
    <col min="12055" max="12271" width="9" style="60"/>
    <col min="12272" max="12272" width="1.42578125" style="60" customWidth="1"/>
    <col min="12273" max="12273" width="31.85546875" style="60" customWidth="1"/>
    <col min="12274" max="12274" width="8.28515625" style="60" customWidth="1"/>
    <col min="12275" max="12275" width="9.7109375" style="60" customWidth="1"/>
    <col min="12276" max="12276" width="8.28515625" style="60" customWidth="1"/>
    <col min="12277" max="12277" width="6.5703125" style="60" customWidth="1"/>
    <col min="12278" max="12278" width="14" style="60" customWidth="1"/>
    <col min="12279" max="12279" width="6.7109375" style="60" customWidth="1"/>
    <col min="12280" max="12280" width="8.85546875" style="60" customWidth="1"/>
    <col min="12281" max="12281" width="7.7109375" style="60" customWidth="1"/>
    <col min="12282" max="12282" width="7.28515625" style="60" customWidth="1"/>
    <col min="12283" max="12283" width="7.7109375" style="60" customWidth="1"/>
    <col min="12284" max="12284" width="8.28515625" style="60" customWidth="1"/>
    <col min="12285" max="12286" width="6.7109375" style="60" customWidth="1"/>
    <col min="12287" max="12287" width="8.85546875" style="60" customWidth="1"/>
    <col min="12288" max="12289" width="7.5703125" style="60" customWidth="1"/>
    <col min="12290" max="12290" width="7.7109375" style="60" customWidth="1"/>
    <col min="12291" max="12292" width="8.28515625" style="60" customWidth="1"/>
    <col min="12293" max="12293" width="6.28515625" style="60" customWidth="1"/>
    <col min="12294" max="12295" width="8.7109375" style="60" customWidth="1"/>
    <col min="12296" max="12296" width="9.5703125" style="60" customWidth="1"/>
    <col min="12297" max="12297" width="8.7109375" style="60" customWidth="1"/>
    <col min="12298" max="12298" width="14.5703125" style="60" customWidth="1"/>
    <col min="12299" max="12299" width="8.7109375" style="60" customWidth="1"/>
    <col min="12300" max="12300" width="10.42578125" style="60" customWidth="1"/>
    <col min="12301" max="12303" width="8.7109375" style="60" customWidth="1"/>
    <col min="12304" max="12304" width="9" style="60"/>
    <col min="12305" max="12306" width="8.7109375" style="60" customWidth="1"/>
    <col min="12307" max="12307" width="4.28515625" style="60" customWidth="1"/>
    <col min="12308" max="12308" width="7" style="60" customWidth="1"/>
    <col min="12309" max="12309" width="4.28515625" style="60" customWidth="1"/>
    <col min="12310" max="12310" width="7.7109375" style="60" customWidth="1"/>
    <col min="12311" max="12527" width="9" style="60"/>
    <col min="12528" max="12528" width="1.42578125" style="60" customWidth="1"/>
    <col min="12529" max="12529" width="31.85546875" style="60" customWidth="1"/>
    <col min="12530" max="12530" width="8.28515625" style="60" customWidth="1"/>
    <col min="12531" max="12531" width="9.7109375" style="60" customWidth="1"/>
    <col min="12532" max="12532" width="8.28515625" style="60" customWidth="1"/>
    <col min="12533" max="12533" width="6.5703125" style="60" customWidth="1"/>
    <col min="12534" max="12534" width="14" style="60" customWidth="1"/>
    <col min="12535" max="12535" width="6.7109375" style="60" customWidth="1"/>
    <col min="12536" max="12536" width="8.85546875" style="60" customWidth="1"/>
    <col min="12537" max="12537" width="7.7109375" style="60" customWidth="1"/>
    <col min="12538" max="12538" width="7.28515625" style="60" customWidth="1"/>
    <col min="12539" max="12539" width="7.7109375" style="60" customWidth="1"/>
    <col min="12540" max="12540" width="8.28515625" style="60" customWidth="1"/>
    <col min="12541" max="12542" width="6.7109375" style="60" customWidth="1"/>
    <col min="12543" max="12543" width="8.85546875" style="60" customWidth="1"/>
    <col min="12544" max="12545" width="7.5703125" style="60" customWidth="1"/>
    <col min="12546" max="12546" width="7.7109375" style="60" customWidth="1"/>
    <col min="12547" max="12548" width="8.28515625" style="60" customWidth="1"/>
    <col min="12549" max="12549" width="6.28515625" style="60" customWidth="1"/>
    <col min="12550" max="12551" width="8.7109375" style="60" customWidth="1"/>
    <col min="12552" max="12552" width="9.5703125" style="60" customWidth="1"/>
    <col min="12553" max="12553" width="8.7109375" style="60" customWidth="1"/>
    <col min="12554" max="12554" width="14.5703125" style="60" customWidth="1"/>
    <col min="12555" max="12555" width="8.7109375" style="60" customWidth="1"/>
    <col min="12556" max="12556" width="10.42578125" style="60" customWidth="1"/>
    <col min="12557" max="12559" width="8.7109375" style="60" customWidth="1"/>
    <col min="12560" max="12560" width="9" style="60"/>
    <col min="12561" max="12562" width="8.7109375" style="60" customWidth="1"/>
    <col min="12563" max="12563" width="4.28515625" style="60" customWidth="1"/>
    <col min="12564" max="12564" width="7" style="60" customWidth="1"/>
    <col min="12565" max="12565" width="4.28515625" style="60" customWidth="1"/>
    <col min="12566" max="12566" width="7.7109375" style="60" customWidth="1"/>
    <col min="12567" max="12783" width="9" style="60"/>
    <col min="12784" max="12784" width="1.42578125" style="60" customWidth="1"/>
    <col min="12785" max="12785" width="31.85546875" style="60" customWidth="1"/>
    <col min="12786" max="12786" width="8.28515625" style="60" customWidth="1"/>
    <col min="12787" max="12787" width="9.7109375" style="60" customWidth="1"/>
    <col min="12788" max="12788" width="8.28515625" style="60" customWidth="1"/>
    <col min="12789" max="12789" width="6.5703125" style="60" customWidth="1"/>
    <col min="12790" max="12790" width="14" style="60" customWidth="1"/>
    <col min="12791" max="12791" width="6.7109375" style="60" customWidth="1"/>
    <col min="12792" max="12792" width="8.85546875" style="60" customWidth="1"/>
    <col min="12793" max="12793" width="7.7109375" style="60" customWidth="1"/>
    <col min="12794" max="12794" width="7.28515625" style="60" customWidth="1"/>
    <col min="12795" max="12795" width="7.7109375" style="60" customWidth="1"/>
    <col min="12796" max="12796" width="8.28515625" style="60" customWidth="1"/>
    <col min="12797" max="12798" width="6.7109375" style="60" customWidth="1"/>
    <col min="12799" max="12799" width="8.85546875" style="60" customWidth="1"/>
    <col min="12800" max="12801" width="7.5703125" style="60" customWidth="1"/>
    <col min="12802" max="12802" width="7.7109375" style="60" customWidth="1"/>
    <col min="12803" max="12804" width="8.28515625" style="60" customWidth="1"/>
    <col min="12805" max="12805" width="6.28515625" style="60" customWidth="1"/>
    <col min="12806" max="12807" width="8.7109375" style="60" customWidth="1"/>
    <col min="12808" max="12808" width="9.5703125" style="60" customWidth="1"/>
    <col min="12809" max="12809" width="8.7109375" style="60" customWidth="1"/>
    <col min="12810" max="12810" width="14.5703125" style="60" customWidth="1"/>
    <col min="12811" max="12811" width="8.7109375" style="60" customWidth="1"/>
    <col min="12812" max="12812" width="10.42578125" style="60" customWidth="1"/>
    <col min="12813" max="12815" width="8.7109375" style="60" customWidth="1"/>
    <col min="12816" max="12816" width="9" style="60"/>
    <col min="12817" max="12818" width="8.7109375" style="60" customWidth="1"/>
    <col min="12819" max="12819" width="4.28515625" style="60" customWidth="1"/>
    <col min="12820" max="12820" width="7" style="60" customWidth="1"/>
    <col min="12821" max="12821" width="4.28515625" style="60" customWidth="1"/>
    <col min="12822" max="12822" width="7.7109375" style="60" customWidth="1"/>
    <col min="12823" max="13039" width="9" style="60"/>
    <col min="13040" max="13040" width="1.42578125" style="60" customWidth="1"/>
    <col min="13041" max="13041" width="31.85546875" style="60" customWidth="1"/>
    <col min="13042" max="13042" width="8.28515625" style="60" customWidth="1"/>
    <col min="13043" max="13043" width="9.7109375" style="60" customWidth="1"/>
    <col min="13044" max="13044" width="8.28515625" style="60" customWidth="1"/>
    <col min="13045" max="13045" width="6.5703125" style="60" customWidth="1"/>
    <col min="13046" max="13046" width="14" style="60" customWidth="1"/>
    <col min="13047" max="13047" width="6.7109375" style="60" customWidth="1"/>
    <col min="13048" max="13048" width="8.85546875" style="60" customWidth="1"/>
    <col min="13049" max="13049" width="7.7109375" style="60" customWidth="1"/>
    <col min="13050" max="13050" width="7.28515625" style="60" customWidth="1"/>
    <col min="13051" max="13051" width="7.7109375" style="60" customWidth="1"/>
    <col min="13052" max="13052" width="8.28515625" style="60" customWidth="1"/>
    <col min="13053" max="13054" width="6.7109375" style="60" customWidth="1"/>
    <col min="13055" max="13055" width="8.85546875" style="60" customWidth="1"/>
    <col min="13056" max="13057" width="7.5703125" style="60" customWidth="1"/>
    <col min="13058" max="13058" width="7.7109375" style="60" customWidth="1"/>
    <col min="13059" max="13060" width="8.28515625" style="60" customWidth="1"/>
    <col min="13061" max="13061" width="6.28515625" style="60" customWidth="1"/>
    <col min="13062" max="13063" width="8.7109375" style="60" customWidth="1"/>
    <col min="13064" max="13064" width="9.5703125" style="60" customWidth="1"/>
    <col min="13065" max="13065" width="8.7109375" style="60" customWidth="1"/>
    <col min="13066" max="13066" width="14.5703125" style="60" customWidth="1"/>
    <col min="13067" max="13067" width="8.7109375" style="60" customWidth="1"/>
    <col min="13068" max="13068" width="10.42578125" style="60" customWidth="1"/>
    <col min="13069" max="13071" width="8.7109375" style="60" customWidth="1"/>
    <col min="13072" max="13072" width="9" style="60"/>
    <col min="13073" max="13074" width="8.7109375" style="60" customWidth="1"/>
    <col min="13075" max="13075" width="4.28515625" style="60" customWidth="1"/>
    <col min="13076" max="13076" width="7" style="60" customWidth="1"/>
    <col min="13077" max="13077" width="4.28515625" style="60" customWidth="1"/>
    <col min="13078" max="13078" width="7.7109375" style="60" customWidth="1"/>
    <col min="13079" max="13295" width="9" style="60"/>
    <col min="13296" max="13296" width="1.42578125" style="60" customWidth="1"/>
    <col min="13297" max="13297" width="31.85546875" style="60" customWidth="1"/>
    <col min="13298" max="13298" width="8.28515625" style="60" customWidth="1"/>
    <col min="13299" max="13299" width="9.7109375" style="60" customWidth="1"/>
    <col min="13300" max="13300" width="8.28515625" style="60" customWidth="1"/>
    <col min="13301" max="13301" width="6.5703125" style="60" customWidth="1"/>
    <col min="13302" max="13302" width="14" style="60" customWidth="1"/>
    <col min="13303" max="13303" width="6.7109375" style="60" customWidth="1"/>
    <col min="13304" max="13304" width="8.85546875" style="60" customWidth="1"/>
    <col min="13305" max="13305" width="7.7109375" style="60" customWidth="1"/>
    <col min="13306" max="13306" width="7.28515625" style="60" customWidth="1"/>
    <col min="13307" max="13307" width="7.7109375" style="60" customWidth="1"/>
    <col min="13308" max="13308" width="8.28515625" style="60" customWidth="1"/>
    <col min="13309" max="13310" width="6.7109375" style="60" customWidth="1"/>
    <col min="13311" max="13311" width="8.85546875" style="60" customWidth="1"/>
    <col min="13312" max="13313" width="7.5703125" style="60" customWidth="1"/>
    <col min="13314" max="13314" width="7.7109375" style="60" customWidth="1"/>
    <col min="13315" max="13316" width="8.28515625" style="60" customWidth="1"/>
    <col min="13317" max="13317" width="6.28515625" style="60" customWidth="1"/>
    <col min="13318" max="13319" width="8.7109375" style="60" customWidth="1"/>
    <col min="13320" max="13320" width="9.5703125" style="60" customWidth="1"/>
    <col min="13321" max="13321" width="8.7109375" style="60" customWidth="1"/>
    <col min="13322" max="13322" width="14.5703125" style="60" customWidth="1"/>
    <col min="13323" max="13323" width="8.7109375" style="60" customWidth="1"/>
    <col min="13324" max="13324" width="10.42578125" style="60" customWidth="1"/>
    <col min="13325" max="13327" width="8.7109375" style="60" customWidth="1"/>
    <col min="13328" max="13328" width="9" style="60"/>
    <col min="13329" max="13330" width="8.7109375" style="60" customWidth="1"/>
    <col min="13331" max="13331" width="4.28515625" style="60" customWidth="1"/>
    <col min="13332" max="13332" width="7" style="60" customWidth="1"/>
    <col min="13333" max="13333" width="4.28515625" style="60" customWidth="1"/>
    <col min="13334" max="13334" width="7.7109375" style="60" customWidth="1"/>
    <col min="13335" max="13551" width="9" style="60"/>
    <col min="13552" max="13552" width="1.42578125" style="60" customWidth="1"/>
    <col min="13553" max="13553" width="31.85546875" style="60" customWidth="1"/>
    <col min="13554" max="13554" width="8.28515625" style="60" customWidth="1"/>
    <col min="13555" max="13555" width="9.7109375" style="60" customWidth="1"/>
    <col min="13556" max="13556" width="8.28515625" style="60" customWidth="1"/>
    <col min="13557" max="13557" width="6.5703125" style="60" customWidth="1"/>
    <col min="13558" max="13558" width="14" style="60" customWidth="1"/>
    <col min="13559" max="13559" width="6.7109375" style="60" customWidth="1"/>
    <col min="13560" max="13560" width="8.85546875" style="60" customWidth="1"/>
    <col min="13561" max="13561" width="7.7109375" style="60" customWidth="1"/>
    <col min="13562" max="13562" width="7.28515625" style="60" customWidth="1"/>
    <col min="13563" max="13563" width="7.7109375" style="60" customWidth="1"/>
    <col min="13564" max="13564" width="8.28515625" style="60" customWidth="1"/>
    <col min="13565" max="13566" width="6.7109375" style="60" customWidth="1"/>
    <col min="13567" max="13567" width="8.85546875" style="60" customWidth="1"/>
    <col min="13568" max="13569" width="7.5703125" style="60" customWidth="1"/>
    <col min="13570" max="13570" width="7.7109375" style="60" customWidth="1"/>
    <col min="13571" max="13572" width="8.28515625" style="60" customWidth="1"/>
    <col min="13573" max="13573" width="6.28515625" style="60" customWidth="1"/>
    <col min="13574" max="13575" width="8.7109375" style="60" customWidth="1"/>
    <col min="13576" max="13576" width="9.5703125" style="60" customWidth="1"/>
    <col min="13577" max="13577" width="8.7109375" style="60" customWidth="1"/>
    <col min="13578" max="13578" width="14.5703125" style="60" customWidth="1"/>
    <col min="13579" max="13579" width="8.7109375" style="60" customWidth="1"/>
    <col min="13580" max="13580" width="10.42578125" style="60" customWidth="1"/>
    <col min="13581" max="13583" width="8.7109375" style="60" customWidth="1"/>
    <col min="13584" max="13584" width="9" style="60"/>
    <col min="13585" max="13586" width="8.7109375" style="60" customWidth="1"/>
    <col min="13587" max="13587" width="4.28515625" style="60" customWidth="1"/>
    <col min="13588" max="13588" width="7" style="60" customWidth="1"/>
    <col min="13589" max="13589" width="4.28515625" style="60" customWidth="1"/>
    <col min="13590" max="13590" width="7.7109375" style="60" customWidth="1"/>
    <col min="13591" max="13807" width="9" style="60"/>
    <col min="13808" max="13808" width="1.42578125" style="60" customWidth="1"/>
    <col min="13809" max="13809" width="31.85546875" style="60" customWidth="1"/>
    <col min="13810" max="13810" width="8.28515625" style="60" customWidth="1"/>
    <col min="13811" max="13811" width="9.7109375" style="60" customWidth="1"/>
    <col min="13812" max="13812" width="8.28515625" style="60" customWidth="1"/>
    <col min="13813" max="13813" width="6.5703125" style="60" customWidth="1"/>
    <col min="13814" max="13814" width="14" style="60" customWidth="1"/>
    <col min="13815" max="13815" width="6.7109375" style="60" customWidth="1"/>
    <col min="13816" max="13816" width="8.85546875" style="60" customWidth="1"/>
    <col min="13817" max="13817" width="7.7109375" style="60" customWidth="1"/>
    <col min="13818" max="13818" width="7.28515625" style="60" customWidth="1"/>
    <col min="13819" max="13819" width="7.7109375" style="60" customWidth="1"/>
    <col min="13820" max="13820" width="8.28515625" style="60" customWidth="1"/>
    <col min="13821" max="13822" width="6.7109375" style="60" customWidth="1"/>
    <col min="13823" max="13823" width="8.85546875" style="60" customWidth="1"/>
    <col min="13824" max="13825" width="7.5703125" style="60" customWidth="1"/>
    <col min="13826" max="13826" width="7.7109375" style="60" customWidth="1"/>
    <col min="13827" max="13828" width="8.28515625" style="60" customWidth="1"/>
    <col min="13829" max="13829" width="6.28515625" style="60" customWidth="1"/>
    <col min="13830" max="13831" width="8.7109375" style="60" customWidth="1"/>
    <col min="13832" max="13832" width="9.5703125" style="60" customWidth="1"/>
    <col min="13833" max="13833" width="8.7109375" style="60" customWidth="1"/>
    <col min="13834" max="13834" width="14.5703125" style="60" customWidth="1"/>
    <col min="13835" max="13835" width="8.7109375" style="60" customWidth="1"/>
    <col min="13836" max="13836" width="10.42578125" style="60" customWidth="1"/>
    <col min="13837" max="13839" width="8.7109375" style="60" customWidth="1"/>
    <col min="13840" max="13840" width="9" style="60"/>
    <col min="13841" max="13842" width="8.7109375" style="60" customWidth="1"/>
    <col min="13843" max="13843" width="4.28515625" style="60" customWidth="1"/>
    <col min="13844" max="13844" width="7" style="60" customWidth="1"/>
    <col min="13845" max="13845" width="4.28515625" style="60" customWidth="1"/>
    <col min="13846" max="13846" width="7.7109375" style="60" customWidth="1"/>
    <col min="13847" max="14063" width="9" style="60"/>
    <col min="14064" max="14064" width="1.42578125" style="60" customWidth="1"/>
    <col min="14065" max="14065" width="31.85546875" style="60" customWidth="1"/>
    <col min="14066" max="14066" width="8.28515625" style="60" customWidth="1"/>
    <col min="14067" max="14067" width="9.7109375" style="60" customWidth="1"/>
    <col min="14068" max="14068" width="8.28515625" style="60" customWidth="1"/>
    <col min="14069" max="14069" width="6.5703125" style="60" customWidth="1"/>
    <col min="14070" max="14070" width="14" style="60" customWidth="1"/>
    <col min="14071" max="14071" width="6.7109375" style="60" customWidth="1"/>
    <col min="14072" max="14072" width="8.85546875" style="60" customWidth="1"/>
    <col min="14073" max="14073" width="7.7109375" style="60" customWidth="1"/>
    <col min="14074" max="14074" width="7.28515625" style="60" customWidth="1"/>
    <col min="14075" max="14075" width="7.7109375" style="60" customWidth="1"/>
    <col min="14076" max="14076" width="8.28515625" style="60" customWidth="1"/>
    <col min="14077" max="14078" width="6.7109375" style="60" customWidth="1"/>
    <col min="14079" max="14079" width="8.85546875" style="60" customWidth="1"/>
    <col min="14080" max="14081" width="7.5703125" style="60" customWidth="1"/>
    <col min="14082" max="14082" width="7.7109375" style="60" customWidth="1"/>
    <col min="14083" max="14084" width="8.28515625" style="60" customWidth="1"/>
    <col min="14085" max="14085" width="6.28515625" style="60" customWidth="1"/>
    <col min="14086" max="14087" width="8.7109375" style="60" customWidth="1"/>
    <col min="14088" max="14088" width="9.5703125" style="60" customWidth="1"/>
    <col min="14089" max="14089" width="8.7109375" style="60" customWidth="1"/>
    <col min="14090" max="14090" width="14.5703125" style="60" customWidth="1"/>
    <col min="14091" max="14091" width="8.7109375" style="60" customWidth="1"/>
    <col min="14092" max="14092" width="10.42578125" style="60" customWidth="1"/>
    <col min="14093" max="14095" width="8.7109375" style="60" customWidth="1"/>
    <col min="14096" max="14096" width="9" style="60"/>
    <col min="14097" max="14098" width="8.7109375" style="60" customWidth="1"/>
    <col min="14099" max="14099" width="4.28515625" style="60" customWidth="1"/>
    <col min="14100" max="14100" width="7" style="60" customWidth="1"/>
    <col min="14101" max="14101" width="4.28515625" style="60" customWidth="1"/>
    <col min="14102" max="14102" width="7.7109375" style="60" customWidth="1"/>
    <col min="14103" max="14319" width="9" style="60"/>
    <col min="14320" max="14320" width="1.42578125" style="60" customWidth="1"/>
    <col min="14321" max="14321" width="31.85546875" style="60" customWidth="1"/>
    <col min="14322" max="14322" width="8.28515625" style="60" customWidth="1"/>
    <col min="14323" max="14323" width="9.7109375" style="60" customWidth="1"/>
    <col min="14324" max="14324" width="8.28515625" style="60" customWidth="1"/>
    <col min="14325" max="14325" width="6.5703125" style="60" customWidth="1"/>
    <col min="14326" max="14326" width="14" style="60" customWidth="1"/>
    <col min="14327" max="14327" width="6.7109375" style="60" customWidth="1"/>
    <col min="14328" max="14328" width="8.85546875" style="60" customWidth="1"/>
    <col min="14329" max="14329" width="7.7109375" style="60" customWidth="1"/>
    <col min="14330" max="14330" width="7.28515625" style="60" customWidth="1"/>
    <col min="14331" max="14331" width="7.7109375" style="60" customWidth="1"/>
    <col min="14332" max="14332" width="8.28515625" style="60" customWidth="1"/>
    <col min="14333" max="14334" width="6.7109375" style="60" customWidth="1"/>
    <col min="14335" max="14335" width="8.85546875" style="60" customWidth="1"/>
    <col min="14336" max="14337" width="7.5703125" style="60" customWidth="1"/>
    <col min="14338" max="14338" width="7.7109375" style="60" customWidth="1"/>
    <col min="14339" max="14340" width="8.28515625" style="60" customWidth="1"/>
    <col min="14341" max="14341" width="6.28515625" style="60" customWidth="1"/>
    <col min="14342" max="14343" width="8.7109375" style="60" customWidth="1"/>
    <col min="14344" max="14344" width="9.5703125" style="60" customWidth="1"/>
    <col min="14345" max="14345" width="8.7109375" style="60" customWidth="1"/>
    <col min="14346" max="14346" width="14.5703125" style="60" customWidth="1"/>
    <col min="14347" max="14347" width="8.7109375" style="60" customWidth="1"/>
    <col min="14348" max="14348" width="10.42578125" style="60" customWidth="1"/>
    <col min="14349" max="14351" width="8.7109375" style="60" customWidth="1"/>
    <col min="14352" max="14352" width="9" style="60"/>
    <col min="14353" max="14354" width="8.7109375" style="60" customWidth="1"/>
    <col min="14355" max="14355" width="4.28515625" style="60" customWidth="1"/>
    <col min="14356" max="14356" width="7" style="60" customWidth="1"/>
    <col min="14357" max="14357" width="4.28515625" style="60" customWidth="1"/>
    <col min="14358" max="14358" width="7.7109375" style="60" customWidth="1"/>
    <col min="14359" max="14575" width="9" style="60"/>
    <col min="14576" max="14576" width="1.42578125" style="60" customWidth="1"/>
    <col min="14577" max="14577" width="31.85546875" style="60" customWidth="1"/>
    <col min="14578" max="14578" width="8.28515625" style="60" customWidth="1"/>
    <col min="14579" max="14579" width="9.7109375" style="60" customWidth="1"/>
    <col min="14580" max="14580" width="8.28515625" style="60" customWidth="1"/>
    <col min="14581" max="14581" width="6.5703125" style="60" customWidth="1"/>
    <col min="14582" max="14582" width="14" style="60" customWidth="1"/>
    <col min="14583" max="14583" width="6.7109375" style="60" customWidth="1"/>
    <col min="14584" max="14584" width="8.85546875" style="60" customWidth="1"/>
    <col min="14585" max="14585" width="7.7109375" style="60" customWidth="1"/>
    <col min="14586" max="14586" width="7.28515625" style="60" customWidth="1"/>
    <col min="14587" max="14587" width="7.7109375" style="60" customWidth="1"/>
    <col min="14588" max="14588" width="8.28515625" style="60" customWidth="1"/>
    <col min="14589" max="14590" width="6.7109375" style="60" customWidth="1"/>
    <col min="14591" max="14591" width="8.85546875" style="60" customWidth="1"/>
    <col min="14592" max="14593" width="7.5703125" style="60" customWidth="1"/>
    <col min="14594" max="14594" width="7.7109375" style="60" customWidth="1"/>
    <col min="14595" max="14596" width="8.28515625" style="60" customWidth="1"/>
    <col min="14597" max="14597" width="6.28515625" style="60" customWidth="1"/>
    <col min="14598" max="14599" width="8.7109375" style="60" customWidth="1"/>
    <col min="14600" max="14600" width="9.5703125" style="60" customWidth="1"/>
    <col min="14601" max="14601" width="8.7109375" style="60" customWidth="1"/>
    <col min="14602" max="14602" width="14.5703125" style="60" customWidth="1"/>
    <col min="14603" max="14603" width="8.7109375" style="60" customWidth="1"/>
    <col min="14604" max="14604" width="10.42578125" style="60" customWidth="1"/>
    <col min="14605" max="14607" width="8.7109375" style="60" customWidth="1"/>
    <col min="14608" max="14608" width="9" style="60"/>
    <col min="14609" max="14610" width="8.7109375" style="60" customWidth="1"/>
    <col min="14611" max="14611" width="4.28515625" style="60" customWidth="1"/>
    <col min="14612" max="14612" width="7" style="60" customWidth="1"/>
    <col min="14613" max="14613" width="4.28515625" style="60" customWidth="1"/>
    <col min="14614" max="14614" width="7.7109375" style="60" customWidth="1"/>
    <col min="14615" max="14831" width="9" style="60"/>
    <col min="14832" max="14832" width="1.42578125" style="60" customWidth="1"/>
    <col min="14833" max="14833" width="31.85546875" style="60" customWidth="1"/>
    <col min="14834" max="14834" width="8.28515625" style="60" customWidth="1"/>
    <col min="14835" max="14835" width="9.7109375" style="60" customWidth="1"/>
    <col min="14836" max="14836" width="8.28515625" style="60" customWidth="1"/>
    <col min="14837" max="14837" width="6.5703125" style="60" customWidth="1"/>
    <col min="14838" max="14838" width="14" style="60" customWidth="1"/>
    <col min="14839" max="14839" width="6.7109375" style="60" customWidth="1"/>
    <col min="14840" max="14840" width="8.85546875" style="60" customWidth="1"/>
    <col min="14841" max="14841" width="7.7109375" style="60" customWidth="1"/>
    <col min="14842" max="14842" width="7.28515625" style="60" customWidth="1"/>
    <col min="14843" max="14843" width="7.7109375" style="60" customWidth="1"/>
    <col min="14844" max="14844" width="8.28515625" style="60" customWidth="1"/>
    <col min="14845" max="14846" width="6.7109375" style="60" customWidth="1"/>
    <col min="14847" max="14847" width="8.85546875" style="60" customWidth="1"/>
    <col min="14848" max="14849" width="7.5703125" style="60" customWidth="1"/>
    <col min="14850" max="14850" width="7.7109375" style="60" customWidth="1"/>
    <col min="14851" max="14852" width="8.28515625" style="60" customWidth="1"/>
    <col min="14853" max="14853" width="6.28515625" style="60" customWidth="1"/>
    <col min="14854" max="14855" width="8.7109375" style="60" customWidth="1"/>
    <col min="14856" max="14856" width="9.5703125" style="60" customWidth="1"/>
    <col min="14857" max="14857" width="8.7109375" style="60" customWidth="1"/>
    <col min="14858" max="14858" width="14.5703125" style="60" customWidth="1"/>
    <col min="14859" max="14859" width="8.7109375" style="60" customWidth="1"/>
    <col min="14860" max="14860" width="10.42578125" style="60" customWidth="1"/>
    <col min="14861" max="14863" width="8.7109375" style="60" customWidth="1"/>
    <col min="14864" max="14864" width="9" style="60"/>
    <col min="14865" max="14866" width="8.7109375" style="60" customWidth="1"/>
    <col min="14867" max="14867" width="4.28515625" style="60" customWidth="1"/>
    <col min="14868" max="14868" width="7" style="60" customWidth="1"/>
    <col min="14869" max="14869" width="4.28515625" style="60" customWidth="1"/>
    <col min="14870" max="14870" width="7.7109375" style="60" customWidth="1"/>
    <col min="14871" max="15087" width="9" style="60"/>
    <col min="15088" max="15088" width="1.42578125" style="60" customWidth="1"/>
    <col min="15089" max="15089" width="31.85546875" style="60" customWidth="1"/>
    <col min="15090" max="15090" width="8.28515625" style="60" customWidth="1"/>
    <col min="15091" max="15091" width="9.7109375" style="60" customWidth="1"/>
    <col min="15092" max="15092" width="8.28515625" style="60" customWidth="1"/>
    <col min="15093" max="15093" width="6.5703125" style="60" customWidth="1"/>
    <col min="15094" max="15094" width="14" style="60" customWidth="1"/>
    <col min="15095" max="15095" width="6.7109375" style="60" customWidth="1"/>
    <col min="15096" max="15096" width="8.85546875" style="60" customWidth="1"/>
    <col min="15097" max="15097" width="7.7109375" style="60" customWidth="1"/>
    <col min="15098" max="15098" width="7.28515625" style="60" customWidth="1"/>
    <col min="15099" max="15099" width="7.7109375" style="60" customWidth="1"/>
    <col min="15100" max="15100" width="8.28515625" style="60" customWidth="1"/>
    <col min="15101" max="15102" width="6.7109375" style="60" customWidth="1"/>
    <col min="15103" max="15103" width="8.85546875" style="60" customWidth="1"/>
    <col min="15104" max="15105" width="7.5703125" style="60" customWidth="1"/>
    <col min="15106" max="15106" width="7.7109375" style="60" customWidth="1"/>
    <col min="15107" max="15108" width="8.28515625" style="60" customWidth="1"/>
    <col min="15109" max="15109" width="6.28515625" style="60" customWidth="1"/>
    <col min="15110" max="15111" width="8.7109375" style="60" customWidth="1"/>
    <col min="15112" max="15112" width="9.5703125" style="60" customWidth="1"/>
    <col min="15113" max="15113" width="8.7109375" style="60" customWidth="1"/>
    <col min="15114" max="15114" width="14.5703125" style="60" customWidth="1"/>
    <col min="15115" max="15115" width="8.7109375" style="60" customWidth="1"/>
    <col min="15116" max="15116" width="10.42578125" style="60" customWidth="1"/>
    <col min="15117" max="15119" width="8.7109375" style="60" customWidth="1"/>
    <col min="15120" max="15120" width="9" style="60"/>
    <col min="15121" max="15122" width="8.7109375" style="60" customWidth="1"/>
    <col min="15123" max="15123" width="4.28515625" style="60" customWidth="1"/>
    <col min="15124" max="15124" width="7" style="60" customWidth="1"/>
    <col min="15125" max="15125" width="4.28515625" style="60" customWidth="1"/>
    <col min="15126" max="15126" width="7.7109375" style="60" customWidth="1"/>
    <col min="15127" max="15343" width="9" style="60"/>
    <col min="15344" max="15344" width="1.42578125" style="60" customWidth="1"/>
    <col min="15345" max="15345" width="31.85546875" style="60" customWidth="1"/>
    <col min="15346" max="15346" width="8.28515625" style="60" customWidth="1"/>
    <col min="15347" max="15347" width="9.7109375" style="60" customWidth="1"/>
    <col min="15348" max="15348" width="8.28515625" style="60" customWidth="1"/>
    <col min="15349" max="15349" width="6.5703125" style="60" customWidth="1"/>
    <col min="15350" max="15350" width="14" style="60" customWidth="1"/>
    <col min="15351" max="15351" width="6.7109375" style="60" customWidth="1"/>
    <col min="15352" max="15352" width="8.85546875" style="60" customWidth="1"/>
    <col min="15353" max="15353" width="7.7109375" style="60" customWidth="1"/>
    <col min="15354" max="15354" width="7.28515625" style="60" customWidth="1"/>
    <col min="15355" max="15355" width="7.7109375" style="60" customWidth="1"/>
    <col min="15356" max="15356" width="8.28515625" style="60" customWidth="1"/>
    <col min="15357" max="15358" width="6.7109375" style="60" customWidth="1"/>
    <col min="15359" max="15359" width="8.85546875" style="60" customWidth="1"/>
    <col min="15360" max="15361" width="7.5703125" style="60" customWidth="1"/>
    <col min="15362" max="15362" width="7.7109375" style="60" customWidth="1"/>
    <col min="15363" max="15364" width="8.28515625" style="60" customWidth="1"/>
    <col min="15365" max="15365" width="6.28515625" style="60" customWidth="1"/>
    <col min="15366" max="15367" width="8.7109375" style="60" customWidth="1"/>
    <col min="15368" max="15368" width="9.5703125" style="60" customWidth="1"/>
    <col min="15369" max="15369" width="8.7109375" style="60" customWidth="1"/>
    <col min="15370" max="15370" width="14.5703125" style="60" customWidth="1"/>
    <col min="15371" max="15371" width="8.7109375" style="60" customWidth="1"/>
    <col min="15372" max="15372" width="10.42578125" style="60" customWidth="1"/>
    <col min="15373" max="15375" width="8.7109375" style="60" customWidth="1"/>
    <col min="15376" max="15376" width="9" style="60"/>
    <col min="15377" max="15378" width="8.7109375" style="60" customWidth="1"/>
    <col min="15379" max="15379" width="4.28515625" style="60" customWidth="1"/>
    <col min="15380" max="15380" width="7" style="60" customWidth="1"/>
    <col min="15381" max="15381" width="4.28515625" style="60" customWidth="1"/>
    <col min="15382" max="15382" width="7.7109375" style="60" customWidth="1"/>
    <col min="15383" max="15599" width="9" style="60"/>
    <col min="15600" max="15600" width="1.42578125" style="60" customWidth="1"/>
    <col min="15601" max="15601" width="31.85546875" style="60" customWidth="1"/>
    <col min="15602" max="15602" width="8.28515625" style="60" customWidth="1"/>
    <col min="15603" max="15603" width="9.7109375" style="60" customWidth="1"/>
    <col min="15604" max="15604" width="8.28515625" style="60" customWidth="1"/>
    <col min="15605" max="15605" width="6.5703125" style="60" customWidth="1"/>
    <col min="15606" max="15606" width="14" style="60" customWidth="1"/>
    <col min="15607" max="15607" width="6.7109375" style="60" customWidth="1"/>
    <col min="15608" max="15608" width="8.85546875" style="60" customWidth="1"/>
    <col min="15609" max="15609" width="7.7109375" style="60" customWidth="1"/>
    <col min="15610" max="15610" width="7.28515625" style="60" customWidth="1"/>
    <col min="15611" max="15611" width="7.7109375" style="60" customWidth="1"/>
    <col min="15612" max="15612" width="8.28515625" style="60" customWidth="1"/>
    <col min="15613" max="15614" width="6.7109375" style="60" customWidth="1"/>
    <col min="15615" max="15615" width="8.85546875" style="60" customWidth="1"/>
    <col min="15616" max="15617" width="7.5703125" style="60" customWidth="1"/>
    <col min="15618" max="15618" width="7.7109375" style="60" customWidth="1"/>
    <col min="15619" max="15620" width="8.28515625" style="60" customWidth="1"/>
    <col min="15621" max="15621" width="6.28515625" style="60" customWidth="1"/>
    <col min="15622" max="15623" width="8.7109375" style="60" customWidth="1"/>
    <col min="15624" max="15624" width="9.5703125" style="60" customWidth="1"/>
    <col min="15625" max="15625" width="8.7109375" style="60" customWidth="1"/>
    <col min="15626" max="15626" width="14.5703125" style="60" customWidth="1"/>
    <col min="15627" max="15627" width="8.7109375" style="60" customWidth="1"/>
    <col min="15628" max="15628" width="10.42578125" style="60" customWidth="1"/>
    <col min="15629" max="15631" width="8.7109375" style="60" customWidth="1"/>
    <col min="15632" max="15632" width="9" style="60"/>
    <col min="15633" max="15634" width="8.7109375" style="60" customWidth="1"/>
    <col min="15635" max="15635" width="4.28515625" style="60" customWidth="1"/>
    <col min="15636" max="15636" width="7" style="60" customWidth="1"/>
    <col min="15637" max="15637" width="4.28515625" style="60" customWidth="1"/>
    <col min="15638" max="15638" width="7.7109375" style="60" customWidth="1"/>
    <col min="15639" max="15855" width="9" style="60"/>
    <col min="15856" max="15856" width="1.42578125" style="60" customWidth="1"/>
    <col min="15857" max="15857" width="31.85546875" style="60" customWidth="1"/>
    <col min="15858" max="15858" width="8.28515625" style="60" customWidth="1"/>
    <col min="15859" max="15859" width="9.7109375" style="60" customWidth="1"/>
    <col min="15860" max="15860" width="8.28515625" style="60" customWidth="1"/>
    <col min="15861" max="15861" width="6.5703125" style="60" customWidth="1"/>
    <col min="15862" max="15862" width="14" style="60" customWidth="1"/>
    <col min="15863" max="15863" width="6.7109375" style="60" customWidth="1"/>
    <col min="15864" max="15864" width="8.85546875" style="60" customWidth="1"/>
    <col min="15865" max="15865" width="7.7109375" style="60" customWidth="1"/>
    <col min="15866" max="15866" width="7.28515625" style="60" customWidth="1"/>
    <col min="15867" max="15867" width="7.7109375" style="60" customWidth="1"/>
    <col min="15868" max="15868" width="8.28515625" style="60" customWidth="1"/>
    <col min="15869" max="15870" width="6.7109375" style="60" customWidth="1"/>
    <col min="15871" max="15871" width="8.85546875" style="60" customWidth="1"/>
    <col min="15872" max="15873" width="7.5703125" style="60" customWidth="1"/>
    <col min="15874" max="15874" width="7.7109375" style="60" customWidth="1"/>
    <col min="15875" max="15876" width="8.28515625" style="60" customWidth="1"/>
    <col min="15877" max="15877" width="6.28515625" style="60" customWidth="1"/>
    <col min="15878" max="15879" width="8.7109375" style="60" customWidth="1"/>
    <col min="15880" max="15880" width="9.5703125" style="60" customWidth="1"/>
    <col min="15881" max="15881" width="8.7109375" style="60" customWidth="1"/>
    <col min="15882" max="15882" width="14.5703125" style="60" customWidth="1"/>
    <col min="15883" max="15883" width="8.7109375" style="60" customWidth="1"/>
    <col min="15884" max="15884" width="10.42578125" style="60" customWidth="1"/>
    <col min="15885" max="15887" width="8.7109375" style="60" customWidth="1"/>
    <col min="15888" max="15888" width="9" style="60"/>
    <col min="15889" max="15890" width="8.7109375" style="60" customWidth="1"/>
    <col min="15891" max="15891" width="4.28515625" style="60" customWidth="1"/>
    <col min="15892" max="15892" width="7" style="60" customWidth="1"/>
    <col min="15893" max="15893" width="4.28515625" style="60" customWidth="1"/>
    <col min="15894" max="15894" width="7.7109375" style="60" customWidth="1"/>
    <col min="15895" max="16111" width="9" style="60"/>
    <col min="16112" max="16112" width="1.42578125" style="60" customWidth="1"/>
    <col min="16113" max="16113" width="31.85546875" style="60" customWidth="1"/>
    <col min="16114" max="16114" width="8.28515625" style="60" customWidth="1"/>
    <col min="16115" max="16115" width="9.7109375" style="60" customWidth="1"/>
    <col min="16116" max="16116" width="8.28515625" style="60" customWidth="1"/>
    <col min="16117" max="16117" width="6.5703125" style="60" customWidth="1"/>
    <col min="16118" max="16118" width="14" style="60" customWidth="1"/>
    <col min="16119" max="16119" width="6.7109375" style="60" customWidth="1"/>
    <col min="16120" max="16120" width="8.85546875" style="60" customWidth="1"/>
    <col min="16121" max="16121" width="7.7109375" style="60" customWidth="1"/>
    <col min="16122" max="16122" width="7.28515625" style="60" customWidth="1"/>
    <col min="16123" max="16123" width="7.7109375" style="60" customWidth="1"/>
    <col min="16124" max="16124" width="8.28515625" style="60" customWidth="1"/>
    <col min="16125" max="16126" width="6.7109375" style="60" customWidth="1"/>
    <col min="16127" max="16127" width="8.85546875" style="60" customWidth="1"/>
    <col min="16128" max="16129" width="7.5703125" style="60" customWidth="1"/>
    <col min="16130" max="16130" width="7.7109375" style="60" customWidth="1"/>
    <col min="16131" max="16132" width="8.28515625" style="60" customWidth="1"/>
    <col min="16133" max="16133" width="6.28515625" style="60" customWidth="1"/>
    <col min="16134" max="16135" width="8.7109375" style="60" customWidth="1"/>
    <col min="16136" max="16136" width="9.5703125" style="60" customWidth="1"/>
    <col min="16137" max="16137" width="8.7109375" style="60" customWidth="1"/>
    <col min="16138" max="16138" width="14.5703125" style="60" customWidth="1"/>
    <col min="16139" max="16139" width="8.7109375" style="60" customWidth="1"/>
    <col min="16140" max="16140" width="10.42578125" style="60" customWidth="1"/>
    <col min="16141" max="16143" width="8.7109375" style="60" customWidth="1"/>
    <col min="16144" max="16144" width="9" style="60"/>
    <col min="16145" max="16146" width="8.7109375" style="60" customWidth="1"/>
    <col min="16147" max="16147" width="4.28515625" style="60" customWidth="1"/>
    <col min="16148" max="16148" width="7" style="60" customWidth="1"/>
    <col min="16149" max="16149" width="4.28515625" style="60" customWidth="1"/>
    <col min="16150" max="16150" width="7.7109375" style="60" customWidth="1"/>
    <col min="16151" max="16381" width="9" style="60"/>
    <col min="16382" max="16384" width="9.28515625" style="60" customWidth="1"/>
  </cols>
  <sheetData>
    <row r="1" spans="1:41" ht="14.1" customHeight="1" x14ac:dyDescent="0.25">
      <c r="B1" s="61"/>
      <c r="S1" s="261"/>
      <c r="T1" s="654"/>
      <c r="U1" s="654"/>
    </row>
    <row r="2" spans="1:41" ht="14.1" customHeight="1" x14ac:dyDescent="0.25">
      <c r="A2" s="655" t="s">
        <v>227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4"/>
      <c r="W2" s="64"/>
      <c r="X2" s="64"/>
      <c r="Y2" s="64"/>
      <c r="Z2" s="64"/>
      <c r="AA2" s="64"/>
      <c r="AB2" s="64"/>
      <c r="AC2" s="64"/>
    </row>
    <row r="3" spans="1:41" ht="14.1" customHeight="1" x14ac:dyDescent="0.25">
      <c r="A3" s="655" t="str">
        <f>[1]Produksi!A3</f>
        <v xml:space="preserve">TAHUN 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  <c r="T3" s="655"/>
      <c r="U3" s="655"/>
      <c r="V3" s="64"/>
      <c r="W3" s="64"/>
      <c r="X3" s="64"/>
      <c r="Y3" s="64"/>
      <c r="Z3" s="64"/>
      <c r="AA3" s="64"/>
      <c r="AB3" s="64"/>
      <c r="AC3" s="64"/>
    </row>
    <row r="4" spans="1:41" ht="14.1" customHeight="1" x14ac:dyDescent="0.2">
      <c r="A4" s="65"/>
      <c r="B4" s="66" t="s">
        <v>47</v>
      </c>
      <c r="C4" s="67"/>
      <c r="D4" s="67"/>
      <c r="E4" s="67"/>
      <c r="F4" s="67"/>
      <c r="G4" s="729"/>
      <c r="H4" s="729"/>
      <c r="I4" s="729"/>
      <c r="J4" s="68"/>
      <c r="K4" s="67"/>
      <c r="L4" s="69"/>
      <c r="M4" s="70"/>
      <c r="N4" s="71" t="s">
        <v>228</v>
      </c>
      <c r="O4" s="71"/>
      <c r="P4" s="71"/>
      <c r="Q4" s="68"/>
      <c r="R4" s="262">
        <v>1078351</v>
      </c>
      <c r="S4" s="262" t="s">
        <v>229</v>
      </c>
      <c r="T4" s="68"/>
      <c r="U4" s="68"/>
      <c r="V4" s="64"/>
      <c r="W4" s="747" t="s">
        <v>230</v>
      </c>
      <c r="X4" s="747"/>
      <c r="Y4" s="747"/>
      <c r="Z4" s="747"/>
      <c r="AA4" s="747"/>
      <c r="AB4" s="747"/>
      <c r="AC4" s="747"/>
    </row>
    <row r="5" spans="1:41" ht="14.1" customHeight="1" x14ac:dyDescent="0.2">
      <c r="A5" s="748" t="s">
        <v>48</v>
      </c>
      <c r="B5" s="749"/>
      <c r="C5" s="752" t="s">
        <v>231</v>
      </c>
      <c r="D5" s="753"/>
      <c r="E5" s="753"/>
      <c r="F5" s="753"/>
      <c r="G5" s="753"/>
      <c r="H5" s="754"/>
      <c r="I5" s="755" t="s">
        <v>232</v>
      </c>
      <c r="J5" s="756"/>
      <c r="K5" s="756"/>
      <c r="L5" s="756"/>
      <c r="M5" s="756"/>
      <c r="N5" s="756"/>
      <c r="O5" s="756"/>
      <c r="P5" s="756"/>
      <c r="Q5" s="757" t="s">
        <v>233</v>
      </c>
      <c r="R5" s="758"/>
      <c r="S5" s="758"/>
      <c r="T5" s="758"/>
      <c r="U5" s="759"/>
      <c r="V5" s="72"/>
      <c r="W5" s="73" t="s">
        <v>234</v>
      </c>
      <c r="X5" s="760" t="s">
        <v>235</v>
      </c>
      <c r="Y5" s="761"/>
      <c r="Z5" s="761"/>
      <c r="AA5" s="761"/>
      <c r="AB5" s="761"/>
      <c r="AC5" s="762"/>
      <c r="AD5" s="74"/>
      <c r="AE5" s="75"/>
      <c r="AF5" s="75"/>
      <c r="AG5" s="75"/>
      <c r="AH5" s="75"/>
      <c r="AI5" s="75"/>
      <c r="AJ5" s="75"/>
      <c r="AK5" s="75"/>
      <c r="AL5" s="75"/>
      <c r="AM5" s="76"/>
    </row>
    <row r="6" spans="1:41" ht="14.1" customHeight="1" x14ac:dyDescent="0.2">
      <c r="A6" s="750"/>
      <c r="B6" s="751"/>
      <c r="C6" s="730" t="s">
        <v>221</v>
      </c>
      <c r="D6" s="730"/>
      <c r="E6" s="731" t="s">
        <v>178</v>
      </c>
      <c r="F6" s="733" t="s">
        <v>236</v>
      </c>
      <c r="G6" s="733" t="s">
        <v>237</v>
      </c>
      <c r="H6" s="735" t="s">
        <v>238</v>
      </c>
      <c r="I6" s="728" t="s">
        <v>239</v>
      </c>
      <c r="J6" s="728" t="s">
        <v>240</v>
      </c>
      <c r="K6" s="746" t="s">
        <v>241</v>
      </c>
      <c r="L6" s="746"/>
      <c r="M6" s="728" t="s">
        <v>242</v>
      </c>
      <c r="N6" s="769" t="s">
        <v>243</v>
      </c>
      <c r="O6" s="78" t="s">
        <v>244</v>
      </c>
      <c r="P6" s="735" t="s">
        <v>245</v>
      </c>
      <c r="Q6" s="771" t="s">
        <v>246</v>
      </c>
      <c r="R6" s="772"/>
      <c r="S6" s="772"/>
      <c r="T6" s="772"/>
      <c r="U6" s="773"/>
      <c r="V6" s="79"/>
      <c r="W6" s="80" t="s">
        <v>247</v>
      </c>
      <c r="X6" s="719" t="s">
        <v>239</v>
      </c>
      <c r="Y6" s="719" t="s">
        <v>240</v>
      </c>
      <c r="Z6" s="764" t="s">
        <v>241</v>
      </c>
      <c r="AA6" s="764"/>
      <c r="AB6" s="719" t="s">
        <v>242</v>
      </c>
      <c r="AC6" s="82" t="s">
        <v>244</v>
      </c>
      <c r="AD6" s="83"/>
      <c r="AM6" s="84"/>
    </row>
    <row r="7" spans="1:41" ht="14.1" customHeight="1" x14ac:dyDescent="0.2">
      <c r="A7" s="750"/>
      <c r="B7" s="751"/>
      <c r="C7" s="738" t="s">
        <v>248</v>
      </c>
      <c r="D7" s="739"/>
      <c r="E7" s="732"/>
      <c r="F7" s="734"/>
      <c r="G7" s="734"/>
      <c r="H7" s="736"/>
      <c r="I7" s="734"/>
      <c r="J7" s="734"/>
      <c r="K7" s="740" t="s">
        <v>249</v>
      </c>
      <c r="L7" s="741"/>
      <c r="M7" s="768"/>
      <c r="N7" s="770"/>
      <c r="O7" s="85" t="s">
        <v>250</v>
      </c>
      <c r="P7" s="736"/>
      <c r="Q7" s="742" t="s">
        <v>251</v>
      </c>
      <c r="R7" s="86" t="s">
        <v>252</v>
      </c>
      <c r="S7" s="86" t="s">
        <v>253</v>
      </c>
      <c r="T7" s="86" t="s">
        <v>254</v>
      </c>
      <c r="U7" s="87" t="s">
        <v>255</v>
      </c>
      <c r="V7" s="79"/>
      <c r="W7" s="80" t="s">
        <v>256</v>
      </c>
      <c r="X7" s="763"/>
      <c r="Y7" s="763"/>
      <c r="Z7" s="766" t="s">
        <v>249</v>
      </c>
      <c r="AA7" s="767"/>
      <c r="AB7" s="765"/>
      <c r="AC7" s="88" t="s">
        <v>250</v>
      </c>
      <c r="AD7" s="83"/>
      <c r="AM7" s="84"/>
    </row>
    <row r="8" spans="1:41" ht="14.1" customHeight="1" x14ac:dyDescent="0.2">
      <c r="A8" s="724" t="s">
        <v>49</v>
      </c>
      <c r="B8" s="725"/>
      <c r="C8" s="77" t="s">
        <v>257</v>
      </c>
      <c r="D8" s="77" t="s">
        <v>258</v>
      </c>
      <c r="E8" s="89" t="s">
        <v>259</v>
      </c>
      <c r="F8" s="726" t="s">
        <v>260</v>
      </c>
      <c r="G8" s="726" t="s">
        <v>261</v>
      </c>
      <c r="H8" s="736"/>
      <c r="I8" s="726" t="s">
        <v>262</v>
      </c>
      <c r="J8" s="726" t="s">
        <v>263</v>
      </c>
      <c r="K8" s="649" t="s">
        <v>250</v>
      </c>
      <c r="L8" s="78" t="s">
        <v>264</v>
      </c>
      <c r="M8" s="726" t="s">
        <v>265</v>
      </c>
      <c r="N8" s="744" t="s">
        <v>266</v>
      </c>
      <c r="O8" s="726" t="s">
        <v>267</v>
      </c>
      <c r="P8" s="736"/>
      <c r="Q8" s="743"/>
      <c r="R8" s="90" t="s">
        <v>268</v>
      </c>
      <c r="S8" s="91" t="s">
        <v>269</v>
      </c>
      <c r="T8" s="91" t="s">
        <v>270</v>
      </c>
      <c r="U8" s="92" t="s">
        <v>271</v>
      </c>
      <c r="V8" s="93"/>
      <c r="W8" s="94" t="s">
        <v>272</v>
      </c>
      <c r="X8" s="716" t="s">
        <v>262</v>
      </c>
      <c r="Y8" s="716" t="s">
        <v>263</v>
      </c>
      <c r="Z8" s="718" t="s">
        <v>250</v>
      </c>
      <c r="AA8" s="81" t="s">
        <v>264</v>
      </c>
      <c r="AB8" s="716" t="s">
        <v>265</v>
      </c>
      <c r="AC8" s="720" t="s">
        <v>267</v>
      </c>
      <c r="AD8" s="83"/>
      <c r="AM8" s="84"/>
    </row>
    <row r="9" spans="1:41" ht="14.1" customHeight="1" x14ac:dyDescent="0.2">
      <c r="A9" s="724"/>
      <c r="B9" s="725"/>
      <c r="C9" s="89" t="s">
        <v>273</v>
      </c>
      <c r="D9" s="89" t="s">
        <v>274</v>
      </c>
      <c r="E9" s="89" t="s">
        <v>275</v>
      </c>
      <c r="F9" s="726"/>
      <c r="G9" s="726"/>
      <c r="H9" s="736"/>
      <c r="I9" s="726"/>
      <c r="J9" s="726"/>
      <c r="K9" s="728"/>
      <c r="L9" s="85" t="s">
        <v>250</v>
      </c>
      <c r="M9" s="726"/>
      <c r="N9" s="744"/>
      <c r="O9" s="726"/>
      <c r="P9" s="736"/>
      <c r="Q9" s="722" t="s">
        <v>276</v>
      </c>
      <c r="R9" s="91" t="s">
        <v>277</v>
      </c>
      <c r="S9" s="90" t="s">
        <v>278</v>
      </c>
      <c r="T9" s="90" t="s">
        <v>279</v>
      </c>
      <c r="U9" s="95" t="s">
        <v>279</v>
      </c>
      <c r="V9" s="93"/>
      <c r="W9" s="94" t="s">
        <v>280</v>
      </c>
      <c r="X9" s="716"/>
      <c r="Y9" s="716"/>
      <c r="Z9" s="719"/>
      <c r="AA9" s="80" t="s">
        <v>250</v>
      </c>
      <c r="AB9" s="716"/>
      <c r="AC9" s="720"/>
      <c r="AD9" s="711" t="s">
        <v>281</v>
      </c>
      <c r="AE9" s="712"/>
      <c r="AF9" s="712"/>
      <c r="AG9" s="712"/>
      <c r="AH9" s="712"/>
      <c r="AI9" s="712"/>
      <c r="AJ9" s="712"/>
      <c r="AK9" s="712"/>
      <c r="AL9" s="712"/>
      <c r="AM9" s="713"/>
    </row>
    <row r="10" spans="1:41" ht="14.1" customHeight="1" x14ac:dyDescent="0.2">
      <c r="A10" s="96"/>
      <c r="B10" s="97"/>
      <c r="C10" s="98"/>
      <c r="D10" s="98"/>
      <c r="E10" s="89" t="s">
        <v>282</v>
      </c>
      <c r="F10" s="727"/>
      <c r="G10" s="727"/>
      <c r="H10" s="737"/>
      <c r="I10" s="727"/>
      <c r="J10" s="727"/>
      <c r="K10" s="99" t="s">
        <v>267</v>
      </c>
      <c r="L10" s="99" t="s">
        <v>283</v>
      </c>
      <c r="M10" s="727"/>
      <c r="N10" s="745"/>
      <c r="O10" s="727"/>
      <c r="P10" s="737"/>
      <c r="Q10" s="723"/>
      <c r="R10" s="100" t="s">
        <v>284</v>
      </c>
      <c r="S10" s="100" t="s">
        <v>285</v>
      </c>
      <c r="T10" s="100" t="s">
        <v>286</v>
      </c>
      <c r="U10" s="101" t="s">
        <v>286</v>
      </c>
      <c r="V10" s="102"/>
      <c r="W10" s="94"/>
      <c r="X10" s="717"/>
      <c r="Y10" s="717"/>
      <c r="Z10" s="103" t="s">
        <v>267</v>
      </c>
      <c r="AA10" s="103" t="s">
        <v>283</v>
      </c>
      <c r="AB10" s="717"/>
      <c r="AC10" s="721"/>
      <c r="AD10" s="104"/>
      <c r="AE10" s="105"/>
      <c r="AF10" s="105"/>
      <c r="AG10" s="105"/>
      <c r="AH10" s="105"/>
      <c r="AI10" s="105"/>
      <c r="AJ10" s="105"/>
      <c r="AK10" s="105"/>
      <c r="AL10" s="105"/>
      <c r="AM10" s="106"/>
    </row>
    <row r="11" spans="1:41" ht="14.1" customHeight="1" x14ac:dyDescent="0.2">
      <c r="A11" s="714">
        <v>-1</v>
      </c>
      <c r="B11" s="715"/>
      <c r="C11" s="266">
        <v>-2</v>
      </c>
      <c r="D11" s="250">
        <v>1</v>
      </c>
      <c r="E11" s="266">
        <v>-4</v>
      </c>
      <c r="F11" s="266">
        <v>-5</v>
      </c>
      <c r="G11" s="266">
        <v>-7</v>
      </c>
      <c r="H11" s="266">
        <v>-8</v>
      </c>
      <c r="I11" s="266">
        <v>-9</v>
      </c>
      <c r="J11" s="266">
        <v>-10</v>
      </c>
      <c r="K11" s="266">
        <v>-11</v>
      </c>
      <c r="L11" s="266">
        <v>-12</v>
      </c>
      <c r="M11" s="266">
        <v>-13</v>
      </c>
      <c r="N11" s="266">
        <v>-14</v>
      </c>
      <c r="O11" s="266">
        <v>-17</v>
      </c>
      <c r="P11" s="266">
        <v>-15</v>
      </c>
      <c r="Q11" s="266">
        <v>-18</v>
      </c>
      <c r="R11" s="266">
        <v>-19</v>
      </c>
      <c r="S11" s="266">
        <v>-20</v>
      </c>
      <c r="T11" s="266">
        <v>-21</v>
      </c>
      <c r="U11" s="266">
        <v>-22</v>
      </c>
      <c r="V11" s="107"/>
      <c r="W11" s="108">
        <v>-8</v>
      </c>
      <c r="X11" s="108">
        <v>-9</v>
      </c>
      <c r="Y11" s="108">
        <v>-10</v>
      </c>
      <c r="Z11" s="108">
        <v>-11</v>
      </c>
      <c r="AA11" s="108">
        <v>-12</v>
      </c>
      <c r="AB11" s="108">
        <v>-13</v>
      </c>
      <c r="AC11" s="109">
        <v>-14</v>
      </c>
      <c r="AD11" s="110" t="s">
        <v>287</v>
      </c>
      <c r="AE11" s="110" t="s">
        <v>288</v>
      </c>
      <c r="AF11" s="110" t="s">
        <v>289</v>
      </c>
      <c r="AG11" s="110" t="s">
        <v>290</v>
      </c>
      <c r="AH11" s="111" t="s">
        <v>291</v>
      </c>
      <c r="AI11" s="111" t="s">
        <v>292</v>
      </c>
      <c r="AJ11" s="111" t="s">
        <v>293</v>
      </c>
      <c r="AK11" s="111" t="s">
        <v>294</v>
      </c>
      <c r="AL11" s="111" t="s">
        <v>295</v>
      </c>
      <c r="AM11" s="111" t="s">
        <v>296</v>
      </c>
      <c r="AN11" s="112"/>
      <c r="AO11" s="112" t="s">
        <v>297</v>
      </c>
    </row>
    <row r="12" spans="1:41" ht="14.1" customHeight="1" thickBot="1" x14ac:dyDescent="0.25">
      <c r="A12" s="1" t="s">
        <v>50</v>
      </c>
      <c r="B12" s="2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4"/>
      <c r="R12" s="114"/>
      <c r="S12" s="115" t="e">
        <f>SUM(S13:S18)</f>
        <v>#REF!</v>
      </c>
      <c r="T12" s="115" t="e">
        <f>SUM(T13:T18)</f>
        <v>#REF!</v>
      </c>
      <c r="U12" s="115" t="e">
        <f>SUM(U13:U18)</f>
        <v>#REF!</v>
      </c>
      <c r="V12" s="116"/>
      <c r="W12" s="117"/>
      <c r="X12" s="117"/>
      <c r="Y12" s="117"/>
      <c r="Z12" s="117"/>
      <c r="AA12" s="117"/>
      <c r="AB12" s="117"/>
      <c r="AC12" s="118"/>
      <c r="AD12" s="119"/>
      <c r="AE12" s="119"/>
      <c r="AF12" s="119"/>
      <c r="AG12" s="119"/>
      <c r="AH12" s="120"/>
      <c r="AI12" s="120"/>
      <c r="AJ12" s="120"/>
      <c r="AK12" s="120"/>
      <c r="AL12" s="120"/>
      <c r="AM12" s="120"/>
      <c r="AN12" s="120"/>
      <c r="AO12" s="121">
        <f>R4</f>
        <v>1078351</v>
      </c>
    </row>
    <row r="13" spans="1:41" ht="14.1" customHeight="1" x14ac:dyDescent="0.2">
      <c r="A13" s="39"/>
      <c r="B13" s="40" t="s">
        <v>172</v>
      </c>
      <c r="C13" s="122" t="e">
        <f>Produksi!#REF!</f>
        <v>#REF!</v>
      </c>
      <c r="D13" s="122" t="e">
        <f>Produksi!#REF!</f>
        <v>#REF!</v>
      </c>
      <c r="E13" s="123" t="e">
        <f>#REF!</f>
        <v>#REF!</v>
      </c>
      <c r="F13" s="124" t="e">
        <f>#REF!+#REF!</f>
        <v>#REF!</v>
      </c>
      <c r="G13" s="124"/>
      <c r="H13" s="124" t="e">
        <f>D13-E13+F13-G13</f>
        <v>#REF!</v>
      </c>
      <c r="I13" s="124">
        <f>'Pemakaian Dalam Negeri'!E13</f>
        <v>201.4804</v>
      </c>
      <c r="J13" s="125">
        <f>'Pemakaian Dalam Negeri'!F13</f>
        <v>412.11899999999997</v>
      </c>
      <c r="K13" s="124">
        <f>'Pemakaian Dalam Negeri'!G13</f>
        <v>0</v>
      </c>
      <c r="L13" s="124">
        <f>'Pemakaian Dalam Negeri'!H13</f>
        <v>2252.9171999999999</v>
      </c>
      <c r="M13" s="124">
        <f>'Pemakaian Dalam Negeri'!I13</f>
        <v>256.42959999999999</v>
      </c>
      <c r="N13" s="124">
        <f>'Pemakaian Dalam Negeri'!J13</f>
        <v>42668.053799999994</v>
      </c>
      <c r="O13" s="124" t="e">
        <f>H13-I13-J13-K13-L13-M13-N13</f>
        <v>#REF!</v>
      </c>
      <c r="P13" s="124" t="e">
        <f>I13+J13+K13+L13+M13+N13+O13</f>
        <v>#REF!</v>
      </c>
      <c r="Q13" s="126"/>
      <c r="R13" s="126"/>
      <c r="S13" s="126"/>
      <c r="T13" s="126"/>
      <c r="U13" s="127"/>
      <c r="V13" s="128"/>
      <c r="W13" s="41">
        <v>100</v>
      </c>
      <c r="X13" s="42">
        <v>0.44</v>
      </c>
      <c r="Y13" s="41">
        <v>0</v>
      </c>
      <c r="Z13" s="41">
        <v>0</v>
      </c>
      <c r="AA13" s="41">
        <v>0</v>
      </c>
      <c r="AB13" s="129">
        <v>4.92</v>
      </c>
      <c r="AC13" s="130">
        <v>0</v>
      </c>
      <c r="AD13" s="119" t="s">
        <v>298</v>
      </c>
      <c r="AE13" s="119"/>
      <c r="AF13" s="131"/>
      <c r="AG13" s="131"/>
      <c r="AH13" s="120"/>
      <c r="AI13" s="120"/>
      <c r="AJ13" s="120"/>
      <c r="AK13" s="120"/>
      <c r="AL13" s="120"/>
      <c r="AM13" s="120"/>
      <c r="AN13" s="120"/>
      <c r="AO13" s="120"/>
    </row>
    <row r="14" spans="1:41" ht="14.1" customHeight="1" x14ac:dyDescent="0.2">
      <c r="A14" s="23"/>
      <c r="B14" s="3" t="s">
        <v>168</v>
      </c>
      <c r="C14" s="122">
        <f>Produksi!D8</f>
        <v>26514</v>
      </c>
      <c r="D14" s="122">
        <f>Produksi!F8</f>
        <v>16998.060199717966</v>
      </c>
      <c r="E14" s="123" t="e">
        <f>#REF!</f>
        <v>#REF!</v>
      </c>
      <c r="F14" s="124" t="e">
        <f>#REF!+#REF!</f>
        <v>#REF!</v>
      </c>
      <c r="G14" s="124"/>
      <c r="H14" s="124" t="e">
        <f t="shared" ref="H14:H24" si="0">D14-E14+F14-G14</f>
        <v>#REF!</v>
      </c>
      <c r="I14" s="124">
        <f>'Pemakaian Dalam Negeri'!E15</f>
        <v>0</v>
      </c>
      <c r="J14" s="125">
        <f>'Pemakaian Dalam Negeri'!F15</f>
        <v>0</v>
      </c>
      <c r="K14" s="124">
        <f>'Pemakaian Dalam Negeri'!G15</f>
        <v>507.42180830624994</v>
      </c>
      <c r="L14" s="124">
        <f>'Pemakaian Dalam Negeri'!H15</f>
        <v>111.89922455249999</v>
      </c>
      <c r="M14" s="124">
        <f>'Pemakaian Dalam Negeri'!I15</f>
        <v>0</v>
      </c>
      <c r="N14" s="124">
        <f>'Pemakaian Dalam Negeri'!J15</f>
        <v>1802.7401046412499</v>
      </c>
      <c r="O14" s="124" t="e">
        <f t="shared" ref="O14:O77" si="1">H14-I14-J14-K14-L14-M14-N14</f>
        <v>#REF!</v>
      </c>
      <c r="P14" s="124" t="e">
        <f t="shared" ref="P14:P77" si="2">I14+J14+K14+L14+M14+N14+O14</f>
        <v>#REF!</v>
      </c>
      <c r="Q14" s="126" t="e">
        <f>O14/$R$4*1000</f>
        <v>#REF!</v>
      </c>
      <c r="R14" s="126" t="e">
        <f>Q14/365*1000</f>
        <v>#REF!</v>
      </c>
      <c r="S14" s="126" t="e">
        <f>R14/100*AD14/100*AE14</f>
        <v>#REF!</v>
      </c>
      <c r="T14" s="126" t="e">
        <f>R14/100*AD14/100*AF14</f>
        <v>#REF!</v>
      </c>
      <c r="U14" s="127" t="e">
        <f>R14/100*AD14/100*AG14</f>
        <v>#REF!</v>
      </c>
      <c r="V14" s="128"/>
      <c r="W14" s="41">
        <v>100</v>
      </c>
      <c r="X14" s="41">
        <v>0.17</v>
      </c>
      <c r="Y14" s="41">
        <v>0</v>
      </c>
      <c r="Z14" s="41">
        <v>0</v>
      </c>
      <c r="AA14" s="41">
        <v>0</v>
      </c>
      <c r="AB14" s="129">
        <v>2.5</v>
      </c>
      <c r="AC14" s="132" t="s">
        <v>299</v>
      </c>
      <c r="AD14" s="119">
        <v>100</v>
      </c>
      <c r="AE14" s="131">
        <v>361</v>
      </c>
      <c r="AF14" s="131">
        <v>8.77</v>
      </c>
      <c r="AG14" s="131">
        <v>1.6</v>
      </c>
      <c r="AH14" s="120">
        <v>0</v>
      </c>
      <c r="AI14" s="120">
        <v>0.12</v>
      </c>
      <c r="AJ14" s="120">
        <v>0</v>
      </c>
      <c r="AK14" s="120">
        <v>6</v>
      </c>
      <c r="AL14" s="120">
        <v>140</v>
      </c>
      <c r="AM14" s="120">
        <v>0.8</v>
      </c>
      <c r="AN14" s="120"/>
      <c r="AO14" s="120"/>
    </row>
    <row r="15" spans="1:41" ht="14.1" customHeight="1" x14ac:dyDescent="0.2">
      <c r="A15" s="24"/>
      <c r="B15" s="4" t="s">
        <v>51</v>
      </c>
      <c r="C15" s="122" t="e">
        <f>Produksi!#REF!</f>
        <v>#REF!</v>
      </c>
      <c r="D15" s="122" t="e">
        <f>Produksi!#REF!</f>
        <v>#REF!</v>
      </c>
      <c r="E15" s="123" t="e">
        <f>#REF!</f>
        <v>#REF!</v>
      </c>
      <c r="F15" s="124" t="e">
        <f>#REF!+#REF!</f>
        <v>#REF!</v>
      </c>
      <c r="G15" s="124"/>
      <c r="H15" s="124" t="e">
        <f t="shared" si="0"/>
        <v>#REF!</v>
      </c>
      <c r="I15" s="124">
        <f>'Pemakaian Dalam Negeri'!E16</f>
        <v>0</v>
      </c>
      <c r="J15" s="125">
        <f>'Pemakaian Dalam Negeri'!F16</f>
        <v>0</v>
      </c>
      <c r="K15" s="124">
        <f>'Pemakaian Dalam Negeri'!G16</f>
        <v>0</v>
      </c>
      <c r="L15" s="124">
        <f>'Pemakaian Dalam Negeri'!H16</f>
        <v>0</v>
      </c>
      <c r="M15" s="124">
        <f>'Pemakaian Dalam Negeri'!I16</f>
        <v>0</v>
      </c>
      <c r="N15" s="124">
        <f>'Pemakaian Dalam Negeri'!J16</f>
        <v>0</v>
      </c>
      <c r="O15" s="124" t="e">
        <f t="shared" si="1"/>
        <v>#REF!</v>
      </c>
      <c r="P15" s="124" t="e">
        <f t="shared" si="2"/>
        <v>#REF!</v>
      </c>
      <c r="Q15" s="126" t="e">
        <f t="shared" ref="Q15:Q78" si="3">O15/$R$4*1000</f>
        <v>#REF!</v>
      </c>
      <c r="R15" s="126" t="e">
        <f>Q15/365*1000</f>
        <v>#REF!</v>
      </c>
      <c r="S15" s="126" t="e">
        <f t="shared" ref="S15:S78" si="4">R15/100*AD15/100*AE15</f>
        <v>#REF!</v>
      </c>
      <c r="T15" s="126" t="e">
        <f t="shared" ref="T15:T78" si="5">R15/100*AD15/100*AF15</f>
        <v>#REF!</v>
      </c>
      <c r="U15" s="127" t="e">
        <f t="shared" ref="U15:U78" si="6">R15/100*AD15/100*AG15</f>
        <v>#REF!</v>
      </c>
      <c r="V15" s="135"/>
      <c r="W15" s="136">
        <v>100</v>
      </c>
      <c r="X15" s="137">
        <v>6</v>
      </c>
      <c r="Y15" s="136">
        <v>0</v>
      </c>
      <c r="Z15" s="136">
        <v>0</v>
      </c>
      <c r="AA15" s="41">
        <v>0</v>
      </c>
      <c r="AB15" s="138">
        <v>4.62</v>
      </c>
      <c r="AC15" s="139">
        <v>0</v>
      </c>
      <c r="AD15" s="119">
        <v>90</v>
      </c>
      <c r="AE15" s="131">
        <v>367</v>
      </c>
      <c r="AF15" s="131">
        <v>7.17</v>
      </c>
      <c r="AG15" s="131">
        <v>5.67</v>
      </c>
      <c r="AH15" s="120">
        <v>510</v>
      </c>
      <c r="AI15" s="120">
        <v>0.38</v>
      </c>
      <c r="AJ15" s="120">
        <v>0</v>
      </c>
      <c r="AK15" s="120">
        <v>10</v>
      </c>
      <c r="AL15" s="120">
        <v>256</v>
      </c>
      <c r="AM15" s="120">
        <v>2.4</v>
      </c>
      <c r="AN15" s="120"/>
      <c r="AO15" s="120"/>
    </row>
    <row r="16" spans="1:41" ht="14.1" customHeight="1" x14ac:dyDescent="0.2">
      <c r="A16" s="23"/>
      <c r="B16" s="3" t="s">
        <v>52</v>
      </c>
      <c r="C16" s="122" t="e">
        <f>Produksi!#REF!</f>
        <v>#REF!</v>
      </c>
      <c r="D16" s="122" t="e">
        <f>Produksi!#REF!</f>
        <v>#REF!</v>
      </c>
      <c r="E16" s="123" t="e">
        <f>#REF!</f>
        <v>#REF!</v>
      </c>
      <c r="F16" s="124" t="e">
        <f>#REF!+#REF!</f>
        <v>#REF!</v>
      </c>
      <c r="G16" s="124"/>
      <c r="H16" s="124" t="e">
        <f t="shared" si="0"/>
        <v>#REF!</v>
      </c>
      <c r="I16" s="124" t="e">
        <f>'Pemakaian Dalam Negeri'!#REF!</f>
        <v>#REF!</v>
      </c>
      <c r="J16" s="125" t="e">
        <f>'Pemakaian Dalam Negeri'!#REF!</f>
        <v>#REF!</v>
      </c>
      <c r="K16" s="124" t="e">
        <f>'Pemakaian Dalam Negeri'!#REF!</f>
        <v>#REF!</v>
      </c>
      <c r="L16" s="124" t="e">
        <f>'Pemakaian Dalam Negeri'!#REF!</f>
        <v>#REF!</v>
      </c>
      <c r="M16" s="124" t="e">
        <f>'Pemakaian Dalam Negeri'!#REF!</f>
        <v>#REF!</v>
      </c>
      <c r="N16" s="124" t="e">
        <f>'Pemakaian Dalam Negeri'!#REF!</f>
        <v>#REF!</v>
      </c>
      <c r="O16" s="124" t="e">
        <f t="shared" si="1"/>
        <v>#REF!</v>
      </c>
      <c r="P16" s="124" t="e">
        <f t="shared" si="2"/>
        <v>#REF!</v>
      </c>
      <c r="Q16" s="126" t="e">
        <f t="shared" si="3"/>
        <v>#REF!</v>
      </c>
      <c r="R16" s="126" t="e">
        <f t="shared" ref="R16:R78" si="7">Q16/365*1000</f>
        <v>#REF!</v>
      </c>
      <c r="S16" s="126" t="e">
        <f t="shared" si="4"/>
        <v>#REF!</v>
      </c>
      <c r="T16" s="126" t="e">
        <f t="shared" si="5"/>
        <v>#REF!</v>
      </c>
      <c r="U16" s="127" t="e">
        <f t="shared" si="6"/>
        <v>#REF!</v>
      </c>
      <c r="V16" s="128"/>
      <c r="W16" s="41">
        <v>100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130">
        <v>100</v>
      </c>
      <c r="AD16" s="119">
        <v>28</v>
      </c>
      <c r="AE16" s="131">
        <v>36.119999999999997</v>
      </c>
      <c r="AF16" s="131">
        <v>1.1499999999999999</v>
      </c>
      <c r="AG16" s="131">
        <v>0.36</v>
      </c>
      <c r="AH16" s="120">
        <v>117</v>
      </c>
      <c r="AI16" s="120">
        <v>0.18</v>
      </c>
      <c r="AJ16" s="120">
        <v>9</v>
      </c>
      <c r="AK16" s="120">
        <v>5</v>
      </c>
      <c r="AL16" s="120">
        <v>108</v>
      </c>
      <c r="AM16" s="120">
        <v>1.1000000000000001</v>
      </c>
      <c r="AN16" s="120"/>
      <c r="AO16" s="120"/>
    </row>
    <row r="17" spans="1:41" ht="14.1" customHeight="1" x14ac:dyDescent="0.2">
      <c r="A17" s="24"/>
      <c r="B17" s="4" t="s">
        <v>53</v>
      </c>
      <c r="C17" s="122">
        <f>Produksi!D11</f>
        <v>0</v>
      </c>
      <c r="D17" s="122">
        <f>Produksi!F12</f>
        <v>0</v>
      </c>
      <c r="E17" s="123" t="e">
        <f>#REF!</f>
        <v>#REF!</v>
      </c>
      <c r="F17" s="124" t="e">
        <f>#REF!+#REF!</f>
        <v>#REF!</v>
      </c>
      <c r="G17" s="124"/>
      <c r="H17" s="124" t="e">
        <f t="shared" si="0"/>
        <v>#REF!</v>
      </c>
      <c r="I17" s="124" t="e">
        <f>'Pemakaian Dalam Negeri'!#REF!</f>
        <v>#REF!</v>
      </c>
      <c r="J17" s="125" t="e">
        <f>'Pemakaian Dalam Negeri'!#REF!</f>
        <v>#REF!</v>
      </c>
      <c r="K17" s="124" t="e">
        <f>'Pemakaian Dalam Negeri'!#REF!</f>
        <v>#REF!</v>
      </c>
      <c r="L17" s="124" t="e">
        <f>'Pemakaian Dalam Negeri'!#REF!</f>
        <v>#REF!</v>
      </c>
      <c r="M17" s="124" t="e">
        <f>'Pemakaian Dalam Negeri'!#REF!</f>
        <v>#REF!</v>
      </c>
      <c r="N17" s="124" t="e">
        <f>'Pemakaian Dalam Negeri'!#REF!</f>
        <v>#REF!</v>
      </c>
      <c r="O17" s="124" t="e">
        <f t="shared" si="1"/>
        <v>#REF!</v>
      </c>
      <c r="P17" s="124" t="e">
        <f t="shared" si="2"/>
        <v>#REF!</v>
      </c>
      <c r="Q17" s="126" t="e">
        <f t="shared" si="3"/>
        <v>#REF!</v>
      </c>
      <c r="R17" s="126" t="e">
        <f t="shared" si="7"/>
        <v>#REF!</v>
      </c>
      <c r="S17" s="126"/>
      <c r="T17" s="126"/>
      <c r="U17" s="127"/>
      <c r="V17" s="135"/>
      <c r="W17" s="136">
        <v>100</v>
      </c>
      <c r="X17" s="136">
        <v>0</v>
      </c>
      <c r="Y17" s="136">
        <v>0</v>
      </c>
      <c r="Z17" s="136">
        <v>100</v>
      </c>
      <c r="AA17" s="136">
        <v>0</v>
      </c>
      <c r="AB17" s="136">
        <v>0</v>
      </c>
      <c r="AC17" s="139">
        <v>0</v>
      </c>
      <c r="AD17" s="119" t="s">
        <v>298</v>
      </c>
      <c r="AE17" s="131"/>
      <c r="AF17" s="119"/>
      <c r="AG17" s="119"/>
      <c r="AH17" s="120"/>
      <c r="AI17" s="120"/>
      <c r="AJ17" s="120"/>
      <c r="AK17" s="120"/>
      <c r="AL17" s="120"/>
      <c r="AM17" s="120"/>
      <c r="AN17" s="120"/>
      <c r="AO17" s="120"/>
    </row>
    <row r="18" spans="1:41" ht="14.1" customHeight="1" x14ac:dyDescent="0.25">
      <c r="A18" s="23"/>
      <c r="B18" s="3" t="s">
        <v>54</v>
      </c>
      <c r="C18" s="122">
        <f>Produksi!D13</f>
        <v>0</v>
      </c>
      <c r="D18" s="122">
        <f>Produksi!F13</f>
        <v>0</v>
      </c>
      <c r="E18" s="123" t="e">
        <f>#REF!</f>
        <v>#REF!</v>
      </c>
      <c r="F18" s="124" t="e">
        <f>#REF!+#REF!</f>
        <v>#REF!</v>
      </c>
      <c r="G18" s="124"/>
      <c r="H18" s="124" t="e">
        <f t="shared" si="0"/>
        <v>#REF!</v>
      </c>
      <c r="I18" s="124">
        <f>'Pemakaian Dalam Negeri'!E17</f>
        <v>0</v>
      </c>
      <c r="J18" s="125">
        <f>'Pemakaian Dalam Negeri'!F17</f>
        <v>0</v>
      </c>
      <c r="K18" s="124">
        <f>'Pemakaian Dalam Negeri'!G17</f>
        <v>0</v>
      </c>
      <c r="L18" s="124">
        <f>'Pemakaian Dalam Negeri'!H17</f>
        <v>0</v>
      </c>
      <c r="M18" s="124">
        <f>'Pemakaian Dalam Negeri'!I17</f>
        <v>0</v>
      </c>
      <c r="N18" s="124">
        <f>'Pemakaian Dalam Negeri'!J17</f>
        <v>0</v>
      </c>
      <c r="O18" s="124" t="e">
        <f t="shared" si="1"/>
        <v>#REF!</v>
      </c>
      <c r="P18" s="124" t="e">
        <f t="shared" si="2"/>
        <v>#REF!</v>
      </c>
      <c r="Q18" s="126" t="e">
        <f t="shared" si="3"/>
        <v>#REF!</v>
      </c>
      <c r="R18" s="126" t="e">
        <f t="shared" si="7"/>
        <v>#REF!</v>
      </c>
      <c r="S18" s="126" t="e">
        <f t="shared" si="4"/>
        <v>#REF!</v>
      </c>
      <c r="T18" s="126" t="e">
        <f t="shared" si="5"/>
        <v>#REF!</v>
      </c>
      <c r="U18" s="127" t="e">
        <f t="shared" si="6"/>
        <v>#REF!</v>
      </c>
      <c r="V18" s="128"/>
      <c r="W18" s="41">
        <v>100</v>
      </c>
      <c r="X18" s="41">
        <v>0</v>
      </c>
      <c r="Y18" s="41">
        <v>0</v>
      </c>
      <c r="Z18" s="41">
        <v>0</v>
      </c>
      <c r="AA18" s="41">
        <v>0</v>
      </c>
      <c r="AB18" s="140">
        <v>0.45</v>
      </c>
      <c r="AC18" s="130">
        <v>99.52</v>
      </c>
      <c r="AD18" s="119">
        <v>100</v>
      </c>
      <c r="AE18" s="131">
        <v>333</v>
      </c>
      <c r="AF18" s="131">
        <v>9</v>
      </c>
      <c r="AG18" s="131">
        <v>1</v>
      </c>
      <c r="AH18" s="120">
        <v>0</v>
      </c>
      <c r="AI18" s="120">
        <v>0.18</v>
      </c>
      <c r="AJ18" s="120">
        <v>0</v>
      </c>
      <c r="AK18" s="120">
        <v>16</v>
      </c>
      <c r="AL18" s="120">
        <v>106</v>
      </c>
      <c r="AM18" s="120">
        <v>1.2</v>
      </c>
      <c r="AN18" s="120"/>
      <c r="AO18" s="120"/>
    </row>
    <row r="19" spans="1:41" ht="14.1" customHeight="1" x14ac:dyDescent="0.2">
      <c r="A19" s="23"/>
      <c r="B19" s="4"/>
      <c r="C19" s="122">
        <f>Produksi!D14</f>
        <v>0</v>
      </c>
      <c r="D19" s="122">
        <f>Produksi!F14</f>
        <v>0</v>
      </c>
      <c r="E19" s="123" t="e">
        <f>#REF!</f>
        <v>#REF!</v>
      </c>
      <c r="F19" s="124" t="e">
        <f>#REF!+#REF!</f>
        <v>#REF!</v>
      </c>
      <c r="G19" s="124"/>
      <c r="H19" s="124" t="e">
        <f t="shared" si="0"/>
        <v>#REF!</v>
      </c>
      <c r="I19" s="124"/>
      <c r="J19" s="125"/>
      <c r="K19" s="124"/>
      <c r="L19" s="124"/>
      <c r="M19" s="124"/>
      <c r="N19" s="124"/>
      <c r="O19" s="124" t="e">
        <f t="shared" si="1"/>
        <v>#REF!</v>
      </c>
      <c r="P19" s="124" t="e">
        <f t="shared" si="2"/>
        <v>#REF!</v>
      </c>
      <c r="Q19" s="126"/>
      <c r="R19" s="126"/>
      <c r="S19" s="126"/>
      <c r="T19" s="126"/>
      <c r="U19" s="127"/>
      <c r="V19" s="135"/>
      <c r="W19" s="136"/>
      <c r="X19" s="137"/>
      <c r="Y19" s="137"/>
      <c r="Z19" s="137"/>
      <c r="AA19" s="137"/>
      <c r="AB19" s="137"/>
      <c r="AC19" s="141"/>
      <c r="AD19" s="119"/>
      <c r="AE19" s="131"/>
      <c r="AF19" s="131"/>
      <c r="AG19" s="131"/>
      <c r="AH19" s="120"/>
      <c r="AI19" s="120"/>
      <c r="AJ19" s="120"/>
      <c r="AK19" s="120"/>
      <c r="AL19" s="120"/>
      <c r="AM19" s="120"/>
      <c r="AN19" s="120"/>
      <c r="AO19" s="120"/>
    </row>
    <row r="20" spans="1:41" ht="14.1" customHeight="1" thickBot="1" x14ac:dyDescent="0.25">
      <c r="A20" s="5" t="s">
        <v>55</v>
      </c>
      <c r="B20" s="3"/>
      <c r="C20" s="122">
        <f>Produksi!D15</f>
        <v>0</v>
      </c>
      <c r="D20" s="122">
        <f>Produksi!F15</f>
        <v>0</v>
      </c>
      <c r="E20" s="123" t="e">
        <f>#REF!</f>
        <v>#REF!</v>
      </c>
      <c r="F20" s="124" t="e">
        <f>#REF!+#REF!</f>
        <v>#REF!</v>
      </c>
      <c r="G20" s="124"/>
      <c r="H20" s="124" t="e">
        <f t="shared" si="0"/>
        <v>#REF!</v>
      </c>
      <c r="I20" s="124">
        <f>'Pemakaian Dalam Negeri'!E22</f>
        <v>0</v>
      </c>
      <c r="J20" s="125">
        <f>'Pemakaian Dalam Negeri'!F22</f>
        <v>0</v>
      </c>
      <c r="K20" s="124">
        <f>'Pemakaian Dalam Negeri'!G22</f>
        <v>0</v>
      </c>
      <c r="L20" s="124">
        <f>'Pemakaian Dalam Negeri'!H22</f>
        <v>0</v>
      </c>
      <c r="M20" s="124">
        <f>'Pemakaian Dalam Negeri'!I22</f>
        <v>0</v>
      </c>
      <c r="N20" s="124">
        <f>'Pemakaian Dalam Negeri'!J22</f>
        <v>0</v>
      </c>
      <c r="O20" s="124" t="e">
        <f t="shared" si="1"/>
        <v>#REF!</v>
      </c>
      <c r="P20" s="124" t="e">
        <f t="shared" si="2"/>
        <v>#REF!</v>
      </c>
      <c r="Q20" s="126"/>
      <c r="R20" s="126"/>
      <c r="S20" s="143" t="e">
        <f>SUM(S21:S23)</f>
        <v>#REF!</v>
      </c>
      <c r="T20" s="143" t="e">
        <f>SUM(T21:T23)</f>
        <v>#REF!</v>
      </c>
      <c r="U20" s="144" t="e">
        <f>SUM(U21:U23)</f>
        <v>#REF!</v>
      </c>
      <c r="V20" s="135"/>
      <c r="W20" s="136">
        <v>100</v>
      </c>
      <c r="X20" s="137">
        <v>2</v>
      </c>
      <c r="Y20" s="145">
        <v>0</v>
      </c>
      <c r="Z20" s="136">
        <v>0</v>
      </c>
      <c r="AA20" s="137"/>
      <c r="AB20" s="146">
        <v>4.9000000000000002E-2</v>
      </c>
      <c r="AC20" s="141"/>
      <c r="AD20" s="119"/>
      <c r="AE20" s="131"/>
      <c r="AF20" s="131"/>
      <c r="AG20" s="131"/>
      <c r="AH20" s="120"/>
      <c r="AI20" s="120"/>
      <c r="AJ20" s="120"/>
      <c r="AK20" s="120"/>
      <c r="AL20" s="120"/>
      <c r="AM20" s="120"/>
      <c r="AN20" s="120"/>
      <c r="AO20" s="120"/>
    </row>
    <row r="21" spans="1:41" ht="14.1" customHeight="1" x14ac:dyDescent="0.2">
      <c r="A21" s="24"/>
      <c r="B21" s="4" t="s">
        <v>56</v>
      </c>
      <c r="C21" s="122">
        <f>Produksi!D16</f>
        <v>0</v>
      </c>
      <c r="D21" s="122">
        <f>Produksi!F16</f>
        <v>0</v>
      </c>
      <c r="E21" s="123" t="e">
        <f>#REF!</f>
        <v>#REF!</v>
      </c>
      <c r="F21" s="124" t="e">
        <f>#REF!+#REF!</f>
        <v>#REF!</v>
      </c>
      <c r="G21" s="124"/>
      <c r="H21" s="124" t="e">
        <f t="shared" si="0"/>
        <v>#REF!</v>
      </c>
      <c r="I21" s="124">
        <f>'Pemakaian Dalam Negeri'!E23</f>
        <v>19.651642883546948</v>
      </c>
      <c r="J21" s="125">
        <f>'Pemakaian Dalam Negeri'!F23</f>
        <v>0</v>
      </c>
      <c r="K21" s="124">
        <f>'Pemakaian Dalam Negeri'!G23</f>
        <v>0</v>
      </c>
      <c r="L21" s="124">
        <f>'Pemakaian Dalam Negeri'!H23</f>
        <v>41.563224698701788</v>
      </c>
      <c r="M21" s="124">
        <f>'Pemakaian Dalam Negeri'!I23</f>
        <v>0</v>
      </c>
      <c r="N21" s="124">
        <f>'Pemakaian Dalam Negeri'!J23</f>
        <v>921.36727659509859</v>
      </c>
      <c r="O21" s="124" t="e">
        <f t="shared" si="1"/>
        <v>#REF!</v>
      </c>
      <c r="P21" s="124" t="e">
        <f t="shared" si="2"/>
        <v>#REF!</v>
      </c>
      <c r="Q21" s="126" t="e">
        <f t="shared" si="3"/>
        <v>#REF!</v>
      </c>
      <c r="R21" s="126" t="e">
        <f t="shared" si="7"/>
        <v>#REF!</v>
      </c>
      <c r="S21" s="177" t="e">
        <f t="shared" si="4"/>
        <v>#REF!</v>
      </c>
      <c r="T21" s="177" t="e">
        <f t="shared" si="5"/>
        <v>#REF!</v>
      </c>
      <c r="U21" s="178" t="e">
        <f t="shared" si="6"/>
        <v>#REF!</v>
      </c>
      <c r="V21" s="135"/>
      <c r="W21" s="136">
        <v>100</v>
      </c>
      <c r="X21" s="137">
        <v>2</v>
      </c>
      <c r="Y21" s="136">
        <v>0</v>
      </c>
      <c r="Z21" s="41">
        <v>0</v>
      </c>
      <c r="AA21" s="136">
        <v>0</v>
      </c>
      <c r="AB21" s="147">
        <v>4.2299999999999997E-2</v>
      </c>
      <c r="AC21" s="141"/>
      <c r="AD21" s="119">
        <v>85</v>
      </c>
      <c r="AE21" s="131">
        <v>110</v>
      </c>
      <c r="AF21" s="131">
        <v>0.9</v>
      </c>
      <c r="AG21" s="131">
        <v>0.88</v>
      </c>
      <c r="AH21" s="120"/>
      <c r="AI21" s="120">
        <v>0.09</v>
      </c>
      <c r="AJ21" s="120">
        <v>22</v>
      </c>
      <c r="AK21" s="120">
        <v>30</v>
      </c>
      <c r="AL21" s="120">
        <v>49</v>
      </c>
      <c r="AM21" s="120">
        <v>0.7</v>
      </c>
      <c r="AN21" s="120"/>
      <c r="AO21" s="120"/>
    </row>
    <row r="22" spans="1:41" ht="14.1" customHeight="1" x14ac:dyDescent="0.2">
      <c r="A22" s="24"/>
      <c r="B22" s="4" t="s">
        <v>57</v>
      </c>
      <c r="C22" s="122">
        <f>Produksi!D17</f>
        <v>0</v>
      </c>
      <c r="D22" s="122">
        <f>Produksi!F18</f>
        <v>163</v>
      </c>
      <c r="E22" s="123" t="e">
        <f>#REF!</f>
        <v>#REF!</v>
      </c>
      <c r="F22" s="124" t="e">
        <f>#REF!+#REF!</f>
        <v>#REF!</v>
      </c>
      <c r="G22" s="124"/>
      <c r="H22" s="124" t="e">
        <f t="shared" si="0"/>
        <v>#REF!</v>
      </c>
      <c r="I22" s="124">
        <f>'Pemakaian Dalam Negeri'!E24</f>
        <v>19.651642883546948</v>
      </c>
      <c r="J22" s="125">
        <f>'Pemakaian Dalam Negeri'!F24</f>
        <v>0</v>
      </c>
      <c r="K22" s="124">
        <f>'Pemakaian Dalam Negeri'!G24</f>
        <v>0</v>
      </c>
      <c r="L22" s="124">
        <f>'Pemakaian Dalam Negeri'!H24</f>
        <v>41.563224698701788</v>
      </c>
      <c r="M22" s="124">
        <f>'Pemakaian Dalam Negeri'!I24</f>
        <v>0</v>
      </c>
      <c r="N22" s="124">
        <f>'Pemakaian Dalam Negeri'!J24</f>
        <v>921.36727659509859</v>
      </c>
      <c r="O22" s="124" t="e">
        <f t="shared" si="1"/>
        <v>#REF!</v>
      </c>
      <c r="P22" s="124" t="e">
        <f t="shared" si="2"/>
        <v>#REF!</v>
      </c>
      <c r="Q22" s="126" t="e">
        <f t="shared" si="3"/>
        <v>#REF!</v>
      </c>
      <c r="R22" s="126" t="e">
        <f t="shared" si="7"/>
        <v>#REF!</v>
      </c>
      <c r="S22" s="126" t="e">
        <f t="shared" si="4"/>
        <v>#REF!</v>
      </c>
      <c r="T22" s="126" t="e">
        <f t="shared" si="5"/>
        <v>#REF!</v>
      </c>
      <c r="U22" s="127" t="e">
        <f t="shared" si="6"/>
        <v>#REF!</v>
      </c>
      <c r="V22" s="128"/>
      <c r="W22" s="41">
        <v>100</v>
      </c>
      <c r="X22" s="41">
        <v>0</v>
      </c>
      <c r="Y22" s="41">
        <v>0</v>
      </c>
      <c r="Z22" s="41">
        <v>0</v>
      </c>
      <c r="AA22" s="41"/>
      <c r="AB22" s="41">
        <v>0.72</v>
      </c>
      <c r="AC22" s="130"/>
      <c r="AD22" s="119">
        <v>85</v>
      </c>
      <c r="AE22" s="131">
        <v>154</v>
      </c>
      <c r="AF22" s="131">
        <v>1</v>
      </c>
      <c r="AG22" s="131">
        <v>0.3</v>
      </c>
      <c r="AH22" s="120">
        <v>0</v>
      </c>
      <c r="AI22" s="120">
        <v>0.06</v>
      </c>
      <c r="AJ22" s="120">
        <v>30</v>
      </c>
      <c r="AK22" s="120">
        <v>33</v>
      </c>
      <c r="AL22" s="120">
        <v>40</v>
      </c>
      <c r="AM22" s="120">
        <v>0.7</v>
      </c>
      <c r="AN22" s="120"/>
      <c r="AO22" s="120"/>
    </row>
    <row r="23" spans="1:41" ht="14.1" customHeight="1" x14ac:dyDescent="0.2">
      <c r="A23" s="23"/>
      <c r="B23" s="3" t="s">
        <v>58</v>
      </c>
      <c r="C23" s="122">
        <f>Produksi!D19</f>
        <v>0</v>
      </c>
      <c r="D23" s="122">
        <f>Produksi!F19</f>
        <v>0</v>
      </c>
      <c r="E23" s="123" t="e">
        <f>#REF!</f>
        <v>#REF!</v>
      </c>
      <c r="F23" s="124" t="e">
        <f>#REF!+#REF!</f>
        <v>#REF!</v>
      </c>
      <c r="G23" s="124"/>
      <c r="H23" s="124" t="e">
        <f t="shared" si="0"/>
        <v>#REF!</v>
      </c>
      <c r="I23" s="124">
        <f>'Pemakaian Dalam Negeri'!E25</f>
        <v>0</v>
      </c>
      <c r="J23" s="125">
        <f>'Pemakaian Dalam Negeri'!F25</f>
        <v>0</v>
      </c>
      <c r="K23" s="124">
        <f>'Pemakaian Dalam Negeri'!G25</f>
        <v>0</v>
      </c>
      <c r="L23" s="124">
        <f>'Pemakaian Dalam Negeri'!H25</f>
        <v>0</v>
      </c>
      <c r="M23" s="124">
        <f>'Pemakaian Dalam Negeri'!I25</f>
        <v>0</v>
      </c>
      <c r="N23" s="124">
        <f>'Pemakaian Dalam Negeri'!J25</f>
        <v>0</v>
      </c>
      <c r="O23" s="124" t="e">
        <f t="shared" si="1"/>
        <v>#REF!</v>
      </c>
      <c r="P23" s="124" t="e">
        <f t="shared" si="2"/>
        <v>#REF!</v>
      </c>
      <c r="Q23" s="126" t="e">
        <f t="shared" si="3"/>
        <v>#REF!</v>
      </c>
      <c r="R23" s="126" t="e">
        <f t="shared" si="7"/>
        <v>#REF!</v>
      </c>
      <c r="S23" s="126" t="e">
        <f t="shared" si="4"/>
        <v>#REF!</v>
      </c>
      <c r="T23" s="126" t="e">
        <f t="shared" si="5"/>
        <v>#REF!</v>
      </c>
      <c r="U23" s="127" t="e">
        <f t="shared" si="6"/>
        <v>#REF!</v>
      </c>
      <c r="V23" s="128"/>
      <c r="W23" s="41"/>
      <c r="X23" s="41"/>
      <c r="Y23" s="41"/>
      <c r="Z23" s="41"/>
      <c r="AA23" s="41"/>
      <c r="AB23" s="41"/>
      <c r="AC23" s="130"/>
      <c r="AD23" s="119">
        <v>100</v>
      </c>
      <c r="AE23" s="131">
        <v>338</v>
      </c>
      <c r="AF23" s="131">
        <v>0.6</v>
      </c>
      <c r="AG23" s="131">
        <v>0.3</v>
      </c>
      <c r="AH23" s="120">
        <v>0</v>
      </c>
      <c r="AI23" s="120">
        <v>0.01</v>
      </c>
      <c r="AJ23" s="120">
        <v>0</v>
      </c>
      <c r="AK23" s="120">
        <v>11</v>
      </c>
      <c r="AL23" s="120">
        <v>13</v>
      </c>
      <c r="AM23" s="120">
        <v>1.2</v>
      </c>
      <c r="AN23" s="120"/>
      <c r="AO23" s="120"/>
    </row>
    <row r="24" spans="1:41" ht="14.1" customHeight="1" x14ac:dyDescent="0.2">
      <c r="A24" s="23"/>
      <c r="B24" s="4"/>
      <c r="C24" s="122">
        <f>Produksi!D25</f>
        <v>0</v>
      </c>
      <c r="D24" s="122">
        <f>Produksi!F25</f>
        <v>0</v>
      </c>
      <c r="E24" s="123" t="e">
        <f>#REF!</f>
        <v>#REF!</v>
      </c>
      <c r="F24" s="124" t="e">
        <f>#REF!+#REF!</f>
        <v>#REF!</v>
      </c>
      <c r="G24" s="124"/>
      <c r="H24" s="124" t="e">
        <f t="shared" si="0"/>
        <v>#REF!</v>
      </c>
      <c r="I24" s="124"/>
      <c r="J24" s="125"/>
      <c r="K24" s="124"/>
      <c r="L24" s="124"/>
      <c r="M24" s="124"/>
      <c r="N24" s="124"/>
      <c r="O24" s="124" t="e">
        <f t="shared" si="1"/>
        <v>#REF!</v>
      </c>
      <c r="P24" s="124" t="e">
        <f t="shared" si="2"/>
        <v>#REF!</v>
      </c>
      <c r="Q24" s="126"/>
      <c r="R24" s="126"/>
      <c r="S24" s="126"/>
      <c r="T24" s="126"/>
      <c r="U24" s="127"/>
      <c r="V24" s="135"/>
      <c r="W24" s="136"/>
      <c r="X24" s="137"/>
      <c r="Y24" s="137"/>
      <c r="Z24" s="137"/>
      <c r="AA24" s="137"/>
      <c r="AB24" s="137"/>
      <c r="AC24" s="141"/>
      <c r="AD24" s="119"/>
      <c r="AE24" s="131"/>
      <c r="AF24" s="131"/>
      <c r="AG24" s="131"/>
      <c r="AH24" s="120"/>
      <c r="AI24" s="120"/>
      <c r="AJ24" s="120"/>
      <c r="AK24" s="120"/>
      <c r="AL24" s="120"/>
      <c r="AM24" s="120"/>
      <c r="AN24" s="120"/>
      <c r="AO24" s="120"/>
    </row>
    <row r="25" spans="1:41" ht="14.1" customHeight="1" thickBot="1" x14ac:dyDescent="0.25">
      <c r="A25" s="6" t="s">
        <v>59</v>
      </c>
      <c r="B25" s="4"/>
      <c r="C25" s="122">
        <f>Produksi!D26</f>
        <v>0</v>
      </c>
      <c r="D25" s="122">
        <f>Produksi!F26</f>
        <v>0</v>
      </c>
      <c r="E25" s="123" t="e">
        <f>#REF!</f>
        <v>#REF!</v>
      </c>
      <c r="F25" s="124" t="e">
        <f>#REF!+#REF!</f>
        <v>#REF!</v>
      </c>
      <c r="G25" s="124"/>
      <c r="H25" s="124" t="e">
        <f t="shared" ref="H25:H88" si="8">D25-E25+F25-G25</f>
        <v>#REF!</v>
      </c>
      <c r="I25" s="124">
        <f>'Pemakaian Dalam Negeri'!E34</f>
        <v>0</v>
      </c>
      <c r="J25" s="125">
        <f>'Pemakaian Dalam Negeri'!F34</f>
        <v>0</v>
      </c>
      <c r="K25" s="124">
        <f>'Pemakaian Dalam Negeri'!G34</f>
        <v>0</v>
      </c>
      <c r="L25" s="124">
        <f>'Pemakaian Dalam Negeri'!H34</f>
        <v>119.85080000000001</v>
      </c>
      <c r="M25" s="124">
        <f>'Pemakaian Dalam Negeri'!I34</f>
        <v>0</v>
      </c>
      <c r="N25" s="124">
        <f>'Pemakaian Dalam Negeri'!J34</f>
        <v>2789.1491999999998</v>
      </c>
      <c r="O25" s="124" t="e">
        <f t="shared" si="1"/>
        <v>#REF!</v>
      </c>
      <c r="P25" s="124" t="e">
        <f t="shared" si="2"/>
        <v>#REF!</v>
      </c>
      <c r="Q25" s="126"/>
      <c r="R25" s="126"/>
      <c r="S25" s="143" t="e">
        <f>SUM(S26:S27)</f>
        <v>#REF!</v>
      </c>
      <c r="T25" s="143" t="e">
        <f>SUM(T26:T27)</f>
        <v>#REF!</v>
      </c>
      <c r="U25" s="143" t="e">
        <f>SUM(U26:U27)</f>
        <v>#REF!</v>
      </c>
      <c r="V25" s="135"/>
      <c r="W25" s="136">
        <v>100</v>
      </c>
      <c r="X25" s="136">
        <v>0</v>
      </c>
      <c r="Y25" s="136">
        <v>0</v>
      </c>
      <c r="Z25" s="136">
        <v>0</v>
      </c>
      <c r="AA25" s="136"/>
      <c r="AB25" s="148">
        <v>4.12</v>
      </c>
      <c r="AC25" s="141"/>
      <c r="AD25" s="119"/>
      <c r="AE25" s="131"/>
      <c r="AF25" s="131"/>
      <c r="AG25" s="131"/>
      <c r="AH25" s="120"/>
      <c r="AI25" s="120"/>
      <c r="AJ25" s="120"/>
      <c r="AK25" s="120"/>
      <c r="AL25" s="120"/>
      <c r="AM25" s="120"/>
      <c r="AN25" s="120"/>
      <c r="AO25" s="120"/>
    </row>
    <row r="26" spans="1:41" ht="14.1" customHeight="1" x14ac:dyDescent="0.2">
      <c r="A26" s="24"/>
      <c r="B26" s="4" t="s">
        <v>60</v>
      </c>
      <c r="C26" s="122">
        <f>Produksi!D27</f>
        <v>0</v>
      </c>
      <c r="D26" s="122">
        <f>Produksi!F27</f>
        <v>0</v>
      </c>
      <c r="E26" s="123" t="e">
        <f>#REF!</f>
        <v>#REF!</v>
      </c>
      <c r="F26" s="124" t="e">
        <f>#REF!+#REF!</f>
        <v>#REF!</v>
      </c>
      <c r="G26" s="124"/>
      <c r="H26" s="124" t="e">
        <f t="shared" si="8"/>
        <v>#REF!</v>
      </c>
      <c r="I26" s="124">
        <f>'Pemakaian Dalam Negeri'!E35</f>
        <v>0</v>
      </c>
      <c r="J26" s="125">
        <f>'Pemakaian Dalam Negeri'!F35</f>
        <v>0</v>
      </c>
      <c r="K26" s="124">
        <f>'Pemakaian Dalam Negeri'!G35</f>
        <v>0</v>
      </c>
      <c r="L26" s="124">
        <f>'Pemakaian Dalam Negeri'!H35</f>
        <v>0</v>
      </c>
      <c r="M26" s="124">
        <f>'Pemakaian Dalam Negeri'!I35</f>
        <v>0</v>
      </c>
      <c r="N26" s="124">
        <f>'Pemakaian Dalam Negeri'!J35</f>
        <v>0</v>
      </c>
      <c r="O26" s="124" t="e">
        <f t="shared" si="1"/>
        <v>#REF!</v>
      </c>
      <c r="P26" s="124" t="e">
        <f t="shared" si="2"/>
        <v>#REF!</v>
      </c>
      <c r="Q26" s="126" t="e">
        <f t="shared" si="3"/>
        <v>#REF!</v>
      </c>
      <c r="R26" s="126" t="e">
        <f t="shared" si="7"/>
        <v>#REF!</v>
      </c>
      <c r="S26" s="126" t="e">
        <f t="shared" si="4"/>
        <v>#REF!</v>
      </c>
      <c r="T26" s="126" t="e">
        <f t="shared" si="5"/>
        <v>#REF!</v>
      </c>
      <c r="U26" s="127" t="e">
        <f t="shared" si="6"/>
        <v>#REF!</v>
      </c>
      <c r="V26" s="135"/>
      <c r="W26" s="136">
        <v>100</v>
      </c>
      <c r="X26" s="136">
        <v>0</v>
      </c>
      <c r="Y26" s="136">
        <v>0</v>
      </c>
      <c r="Z26" s="136">
        <v>0</v>
      </c>
      <c r="AA26" s="136"/>
      <c r="AB26" s="136">
        <v>0</v>
      </c>
      <c r="AC26" s="149"/>
      <c r="AD26" s="119">
        <v>100</v>
      </c>
      <c r="AE26" s="131">
        <v>364</v>
      </c>
      <c r="AF26" s="131">
        <v>0</v>
      </c>
      <c r="AG26" s="131">
        <v>0</v>
      </c>
      <c r="AH26" s="120">
        <v>0</v>
      </c>
      <c r="AI26" s="120">
        <v>0</v>
      </c>
      <c r="AJ26" s="120">
        <v>0</v>
      </c>
      <c r="AK26" s="120">
        <v>5</v>
      </c>
      <c r="AL26" s="120">
        <v>1</v>
      </c>
      <c r="AM26" s="120">
        <v>0.1</v>
      </c>
      <c r="AN26" s="120"/>
      <c r="AO26" s="120"/>
    </row>
    <row r="27" spans="1:41" ht="14.1" customHeight="1" x14ac:dyDescent="0.2">
      <c r="A27" s="24"/>
      <c r="B27" s="4" t="s">
        <v>61</v>
      </c>
      <c r="C27" s="122">
        <f>Produksi!D30</f>
        <v>0</v>
      </c>
      <c r="D27" s="122">
        <f>Produksi!F30</f>
        <v>0</v>
      </c>
      <c r="E27" s="123" t="e">
        <f>#REF!</f>
        <v>#REF!</v>
      </c>
      <c r="F27" s="124" t="e">
        <f>#REF!+#REF!</f>
        <v>#REF!</v>
      </c>
      <c r="G27" s="124"/>
      <c r="H27" s="124" t="e">
        <f t="shared" si="8"/>
        <v>#REF!</v>
      </c>
      <c r="I27" s="124">
        <f>'Pemakaian Dalam Negeri'!E36</f>
        <v>0</v>
      </c>
      <c r="J27" s="125">
        <f>'Pemakaian Dalam Negeri'!F36</f>
        <v>0</v>
      </c>
      <c r="K27" s="124">
        <f>'Pemakaian Dalam Negeri'!G36</f>
        <v>0</v>
      </c>
      <c r="L27" s="124">
        <f>'Pemakaian Dalam Negeri'!H36</f>
        <v>0</v>
      </c>
      <c r="M27" s="124">
        <f>'Pemakaian Dalam Negeri'!I36</f>
        <v>0</v>
      </c>
      <c r="N27" s="124">
        <f>'Pemakaian Dalam Negeri'!J36</f>
        <v>0</v>
      </c>
      <c r="O27" s="124" t="e">
        <f t="shared" si="1"/>
        <v>#REF!</v>
      </c>
      <c r="P27" s="124" t="e">
        <f t="shared" si="2"/>
        <v>#REF!</v>
      </c>
      <c r="Q27" s="126" t="e">
        <f t="shared" si="3"/>
        <v>#REF!</v>
      </c>
      <c r="R27" s="126" t="e">
        <f t="shared" si="7"/>
        <v>#REF!</v>
      </c>
      <c r="S27" s="126" t="e">
        <f t="shared" si="4"/>
        <v>#REF!</v>
      </c>
      <c r="T27" s="126" t="e">
        <f t="shared" si="5"/>
        <v>#REF!</v>
      </c>
      <c r="U27" s="127" t="e">
        <f t="shared" si="6"/>
        <v>#REF!</v>
      </c>
      <c r="V27" s="135"/>
      <c r="W27" s="136"/>
      <c r="X27" s="137"/>
      <c r="Y27" s="137"/>
      <c r="Z27" s="137"/>
      <c r="AA27" s="137"/>
      <c r="AB27" s="137"/>
      <c r="AC27" s="141"/>
      <c r="AD27" s="119">
        <v>100</v>
      </c>
      <c r="AE27" s="131">
        <v>377</v>
      </c>
      <c r="AF27" s="131">
        <v>3</v>
      </c>
      <c r="AG27" s="131">
        <v>10</v>
      </c>
      <c r="AH27" s="120">
        <v>0</v>
      </c>
      <c r="AI27" s="120">
        <v>7.0000000000000001E-3</v>
      </c>
      <c r="AJ27" s="120">
        <v>0</v>
      </c>
      <c r="AK27" s="120">
        <v>67</v>
      </c>
      <c r="AL27" s="120">
        <v>39</v>
      </c>
      <c r="AM27" s="120">
        <v>3.3</v>
      </c>
      <c r="AN27" s="120"/>
      <c r="AO27" s="120"/>
    </row>
    <row r="28" spans="1:41" ht="14.1" customHeight="1" x14ac:dyDescent="0.2">
      <c r="A28" s="23"/>
      <c r="B28" s="4"/>
      <c r="C28" s="122">
        <f>Produksi!D31</f>
        <v>0</v>
      </c>
      <c r="D28" s="122">
        <f>Produksi!F31</f>
        <v>0</v>
      </c>
      <c r="E28" s="123" t="e">
        <f>#REF!</f>
        <v>#REF!</v>
      </c>
      <c r="F28" s="124" t="e">
        <f>#REF!+#REF!</f>
        <v>#REF!</v>
      </c>
      <c r="G28" s="124"/>
      <c r="H28" s="124" t="e">
        <f t="shared" si="8"/>
        <v>#REF!</v>
      </c>
      <c r="I28" s="124"/>
      <c r="J28" s="125"/>
      <c r="K28" s="124"/>
      <c r="L28" s="124"/>
      <c r="M28" s="124"/>
      <c r="N28" s="124"/>
      <c r="O28" s="124" t="e">
        <f t="shared" si="1"/>
        <v>#REF!</v>
      </c>
      <c r="P28" s="124" t="e">
        <f t="shared" si="2"/>
        <v>#REF!</v>
      </c>
      <c r="Q28" s="126"/>
      <c r="R28" s="126"/>
      <c r="S28" s="126"/>
      <c r="T28" s="126"/>
      <c r="U28" s="127"/>
      <c r="V28" s="128"/>
      <c r="W28" s="41"/>
      <c r="X28" s="42"/>
      <c r="Y28" s="42"/>
      <c r="Z28" s="42"/>
      <c r="AA28" s="42"/>
      <c r="AB28" s="42"/>
      <c r="AC28" s="149"/>
      <c r="AD28" s="119"/>
      <c r="AE28" s="131"/>
      <c r="AF28" s="131"/>
      <c r="AG28" s="131"/>
      <c r="AH28" s="120"/>
      <c r="AI28" s="120"/>
      <c r="AJ28" s="120"/>
      <c r="AK28" s="120"/>
      <c r="AL28" s="120"/>
      <c r="AM28" s="120"/>
      <c r="AN28" s="120"/>
      <c r="AO28" s="120"/>
    </row>
    <row r="29" spans="1:41" ht="14.1" customHeight="1" thickBot="1" x14ac:dyDescent="0.25">
      <c r="A29" s="7" t="s">
        <v>2</v>
      </c>
      <c r="B29" s="8"/>
      <c r="C29" s="122">
        <f>Produksi!D32</f>
        <v>0</v>
      </c>
      <c r="D29" s="122">
        <f>Produksi!F32</f>
        <v>0</v>
      </c>
      <c r="E29" s="123" t="e">
        <f>#REF!</f>
        <v>#REF!</v>
      </c>
      <c r="F29" s="124" t="e">
        <f>#REF!+#REF!</f>
        <v>#REF!</v>
      </c>
      <c r="G29" s="124"/>
      <c r="H29" s="124" t="e">
        <f t="shared" si="8"/>
        <v>#REF!</v>
      </c>
      <c r="I29" s="124">
        <f>'Pemakaian Dalam Negeri'!E38</f>
        <v>0</v>
      </c>
      <c r="J29" s="125">
        <f>'Pemakaian Dalam Negeri'!F38</f>
        <v>0</v>
      </c>
      <c r="K29" s="124">
        <f>'Pemakaian Dalam Negeri'!G38</f>
        <v>0</v>
      </c>
      <c r="L29" s="124">
        <f>'Pemakaian Dalam Negeri'!H38</f>
        <v>0</v>
      </c>
      <c r="M29" s="124">
        <f>'Pemakaian Dalam Negeri'!I38</f>
        <v>0</v>
      </c>
      <c r="N29" s="124">
        <f>'Pemakaian Dalam Negeri'!J38</f>
        <v>0</v>
      </c>
      <c r="O29" s="124" t="e">
        <f t="shared" si="1"/>
        <v>#REF!</v>
      </c>
      <c r="P29" s="124" t="e">
        <f t="shared" si="2"/>
        <v>#REF!</v>
      </c>
      <c r="Q29" s="126"/>
      <c r="R29" s="126"/>
      <c r="S29" s="143" t="e">
        <f>SUM(S30:S36)</f>
        <v>#REF!</v>
      </c>
      <c r="T29" s="143" t="e">
        <f>SUM(T30:T36)</f>
        <v>#REF!</v>
      </c>
      <c r="U29" s="143" t="e">
        <f>SUM(U30:U36)</f>
        <v>#REF!</v>
      </c>
      <c r="V29" s="128"/>
      <c r="W29" s="41">
        <v>100</v>
      </c>
      <c r="X29" s="41">
        <v>0</v>
      </c>
      <c r="Y29" s="41">
        <v>0</v>
      </c>
      <c r="Z29" s="41">
        <v>95</v>
      </c>
      <c r="AA29" s="41">
        <v>0</v>
      </c>
      <c r="AB29" s="42">
        <v>5</v>
      </c>
      <c r="AC29" s="130">
        <v>0</v>
      </c>
      <c r="AD29" s="119"/>
      <c r="AE29" s="131"/>
      <c r="AF29" s="131"/>
      <c r="AG29" s="131"/>
      <c r="AH29" s="120"/>
      <c r="AI29" s="120"/>
      <c r="AJ29" s="120"/>
      <c r="AK29" s="120"/>
      <c r="AL29" s="120"/>
      <c r="AM29" s="120"/>
      <c r="AN29" s="120"/>
      <c r="AO29" s="120"/>
    </row>
    <row r="30" spans="1:41" ht="14.1" customHeight="1" x14ac:dyDescent="0.25">
      <c r="A30" s="6"/>
      <c r="B30" s="9" t="s">
        <v>3</v>
      </c>
      <c r="C30" s="122">
        <f>Produksi!D33</f>
        <v>0</v>
      </c>
      <c r="D30" s="122">
        <f>Produksi!F33</f>
        <v>0</v>
      </c>
      <c r="E30" s="123" t="e">
        <f>#REF!</f>
        <v>#REF!</v>
      </c>
      <c r="F30" s="124" t="e">
        <f>#REF!+#REF!</f>
        <v>#REF!</v>
      </c>
      <c r="G30" s="124"/>
      <c r="H30" s="124" t="e">
        <f t="shared" si="8"/>
        <v>#REF!</v>
      </c>
      <c r="I30" s="124">
        <f>'Pemakaian Dalam Negeri'!E39</f>
        <v>0</v>
      </c>
      <c r="J30" s="125">
        <f>'Pemakaian Dalam Negeri'!F39</f>
        <v>0</v>
      </c>
      <c r="K30" s="124">
        <f>'Pemakaian Dalam Negeri'!G39</f>
        <v>0</v>
      </c>
      <c r="L30" s="124">
        <f>'Pemakaian Dalam Negeri'!H39</f>
        <v>0</v>
      </c>
      <c r="M30" s="124">
        <f>'Pemakaian Dalam Negeri'!I39</f>
        <v>0</v>
      </c>
      <c r="N30" s="124">
        <f>'Pemakaian Dalam Negeri'!J39</f>
        <v>0</v>
      </c>
      <c r="O30" s="124" t="e">
        <f t="shared" si="1"/>
        <v>#REF!</v>
      </c>
      <c r="P30" s="124" t="e">
        <f t="shared" si="2"/>
        <v>#REF!</v>
      </c>
      <c r="Q30" s="126" t="e">
        <f t="shared" si="3"/>
        <v>#REF!</v>
      </c>
      <c r="R30" s="126" t="e">
        <f t="shared" si="7"/>
        <v>#REF!</v>
      </c>
      <c r="S30" s="126" t="e">
        <f t="shared" si="4"/>
        <v>#REF!</v>
      </c>
      <c r="T30" s="126" t="e">
        <f t="shared" si="5"/>
        <v>#REF!</v>
      </c>
      <c r="U30" s="127" t="e">
        <f t="shared" si="6"/>
        <v>#REF!</v>
      </c>
      <c r="V30" s="128"/>
      <c r="W30" s="41">
        <v>100</v>
      </c>
      <c r="X30" s="41">
        <v>0</v>
      </c>
      <c r="Y30" s="41">
        <v>0</v>
      </c>
      <c r="Z30" s="41">
        <v>8.51</v>
      </c>
      <c r="AA30" s="41"/>
      <c r="AB30" s="154">
        <v>3.06</v>
      </c>
      <c r="AC30" s="130">
        <v>0</v>
      </c>
      <c r="AD30" s="119"/>
      <c r="AE30" s="131"/>
      <c r="AF30" s="131"/>
      <c r="AG30" s="131"/>
      <c r="AH30" s="120"/>
      <c r="AI30" s="120"/>
      <c r="AJ30" s="120"/>
      <c r="AK30" s="120"/>
      <c r="AL30" s="120"/>
      <c r="AM30" s="120"/>
      <c r="AN30" s="120"/>
      <c r="AO30" s="120"/>
    </row>
    <row r="31" spans="1:41" ht="14.1" customHeight="1" x14ac:dyDescent="0.2">
      <c r="A31" s="23"/>
      <c r="B31" s="3" t="s">
        <v>62</v>
      </c>
      <c r="C31" s="122">
        <f>Produksi!D34</f>
        <v>12</v>
      </c>
      <c r="D31" s="122">
        <f>Produksi!F34</f>
        <v>8.16</v>
      </c>
      <c r="E31" s="123" t="e">
        <f>#REF!</f>
        <v>#REF!</v>
      </c>
      <c r="F31" s="124" t="e">
        <f>#REF!+#REF!</f>
        <v>#REF!</v>
      </c>
      <c r="G31" s="124"/>
      <c r="H31" s="124" t="e">
        <f t="shared" si="8"/>
        <v>#REF!</v>
      </c>
      <c r="I31" s="124">
        <f>'Pemakaian Dalam Negeri'!E40</f>
        <v>0.89760000000000006</v>
      </c>
      <c r="J31" s="125">
        <f>'Pemakaian Dalam Negeri'!F40</f>
        <v>0</v>
      </c>
      <c r="K31" s="124">
        <f>'Pemakaian Dalam Negeri'!G40</f>
        <v>0.73929600000000006</v>
      </c>
      <c r="L31" s="124">
        <f>'Pemakaian Dalam Negeri'!H40</f>
        <v>0.249696</v>
      </c>
      <c r="M31" s="124">
        <f>'Pemakaian Dalam Negeri'!I40</f>
        <v>0</v>
      </c>
      <c r="N31" s="124">
        <f>'Pemakaian Dalam Negeri'!J40</f>
        <v>6.2734079999999999</v>
      </c>
      <c r="O31" s="124" t="e">
        <f t="shared" si="1"/>
        <v>#REF!</v>
      </c>
      <c r="P31" s="124" t="e">
        <f t="shared" si="2"/>
        <v>#REF!</v>
      </c>
      <c r="Q31" s="126" t="e">
        <f t="shared" si="3"/>
        <v>#REF!</v>
      </c>
      <c r="R31" s="126" t="e">
        <f t="shared" si="7"/>
        <v>#REF!</v>
      </c>
      <c r="S31" s="126" t="e">
        <f t="shared" si="4"/>
        <v>#REF!</v>
      </c>
      <c r="T31" s="126" t="e">
        <f t="shared" si="5"/>
        <v>#REF!</v>
      </c>
      <c r="U31" s="127" t="e">
        <f t="shared" si="6"/>
        <v>#REF!</v>
      </c>
      <c r="V31" s="135"/>
      <c r="W31" s="136">
        <v>100</v>
      </c>
      <c r="X31" s="136">
        <v>0.34</v>
      </c>
      <c r="Y31" s="136">
        <v>0</v>
      </c>
      <c r="Z31" s="136">
        <v>0</v>
      </c>
      <c r="AA31" s="136"/>
      <c r="AB31" s="137">
        <v>2.52</v>
      </c>
      <c r="AC31" s="139">
        <v>0</v>
      </c>
      <c r="AD31" s="119"/>
      <c r="AE31" s="131"/>
      <c r="AF31" s="131"/>
      <c r="AG31" s="131"/>
      <c r="AH31" s="120"/>
      <c r="AI31" s="120"/>
      <c r="AJ31" s="120"/>
      <c r="AK31" s="120"/>
      <c r="AL31" s="120"/>
      <c r="AM31" s="120"/>
      <c r="AN31" s="120"/>
      <c r="AO31" s="120"/>
    </row>
    <row r="32" spans="1:41" ht="14.1" customHeight="1" x14ac:dyDescent="0.25">
      <c r="A32" s="23"/>
      <c r="B32" s="3" t="s">
        <v>63</v>
      </c>
      <c r="C32" s="122" t="e">
        <f>Produksi!#REF!</f>
        <v>#REF!</v>
      </c>
      <c r="D32" s="122" t="e">
        <f>Produksi!#REF!</f>
        <v>#REF!</v>
      </c>
      <c r="E32" s="123" t="e">
        <f>#REF!</f>
        <v>#REF!</v>
      </c>
      <c r="F32" s="124" t="e">
        <f>#REF!+#REF!</f>
        <v>#REF!</v>
      </c>
      <c r="G32" s="124"/>
      <c r="H32" s="124" t="e">
        <f t="shared" si="8"/>
        <v>#REF!</v>
      </c>
      <c r="I32" s="124" t="e">
        <f>'Pemakaian Dalam Negeri'!#REF!</f>
        <v>#REF!</v>
      </c>
      <c r="J32" s="125" t="e">
        <f>'Pemakaian Dalam Negeri'!#REF!</f>
        <v>#REF!</v>
      </c>
      <c r="K32" s="124" t="e">
        <f>'Pemakaian Dalam Negeri'!#REF!</f>
        <v>#REF!</v>
      </c>
      <c r="L32" s="124" t="e">
        <f>'Pemakaian Dalam Negeri'!#REF!</f>
        <v>#REF!</v>
      </c>
      <c r="M32" s="124" t="e">
        <f>'Pemakaian Dalam Negeri'!#REF!</f>
        <v>#REF!</v>
      </c>
      <c r="N32" s="124" t="e">
        <f>'Pemakaian Dalam Negeri'!#REF!</f>
        <v>#REF!</v>
      </c>
      <c r="O32" s="124" t="e">
        <f t="shared" si="1"/>
        <v>#REF!</v>
      </c>
      <c r="P32" s="124" t="e">
        <f t="shared" si="2"/>
        <v>#REF!</v>
      </c>
      <c r="Q32" s="126" t="e">
        <f t="shared" si="3"/>
        <v>#REF!</v>
      </c>
      <c r="R32" s="126" t="e">
        <f t="shared" si="7"/>
        <v>#REF!</v>
      </c>
      <c r="S32" s="126" t="e">
        <f t="shared" si="4"/>
        <v>#REF!</v>
      </c>
      <c r="T32" s="126" t="e">
        <f t="shared" si="5"/>
        <v>#REF!</v>
      </c>
      <c r="U32" s="127" t="e">
        <f t="shared" si="6"/>
        <v>#REF!</v>
      </c>
      <c r="V32" s="135"/>
      <c r="W32" s="136">
        <v>100</v>
      </c>
      <c r="X32" s="137">
        <v>2</v>
      </c>
      <c r="Y32" s="136">
        <v>0</v>
      </c>
      <c r="Z32" s="136">
        <v>0</v>
      </c>
      <c r="AA32" s="136">
        <v>0</v>
      </c>
      <c r="AB32" s="154">
        <v>2.57</v>
      </c>
      <c r="AC32" s="139">
        <v>0</v>
      </c>
      <c r="AD32" s="119">
        <v>100</v>
      </c>
      <c r="AE32" s="131">
        <v>548</v>
      </c>
      <c r="AF32" s="131">
        <v>28.1</v>
      </c>
      <c r="AG32" s="131">
        <v>43.3</v>
      </c>
      <c r="AH32" s="120">
        <v>0</v>
      </c>
      <c r="AI32" s="120">
        <v>0.3</v>
      </c>
      <c r="AJ32" s="120">
        <v>3</v>
      </c>
      <c r="AK32" s="120">
        <v>58</v>
      </c>
      <c r="AL32" s="120">
        <v>335</v>
      </c>
      <c r="AM32" s="120">
        <v>1.3</v>
      </c>
      <c r="AN32" s="120"/>
      <c r="AO32" s="120"/>
    </row>
    <row r="33" spans="1:41" ht="14.1" customHeight="1" x14ac:dyDescent="0.2">
      <c r="A33" s="24"/>
      <c r="B33" s="4" t="s">
        <v>64</v>
      </c>
      <c r="C33" s="122">
        <f>Produksi!D35</f>
        <v>0</v>
      </c>
      <c r="D33" s="122">
        <f>Produksi!F35</f>
        <v>0</v>
      </c>
      <c r="E33" s="123" t="e">
        <f>#REF!</f>
        <v>#REF!</v>
      </c>
      <c r="F33" s="124" t="e">
        <f>#REF!+#REF!</f>
        <v>#REF!</v>
      </c>
      <c r="G33" s="124"/>
      <c r="H33" s="124" t="e">
        <f t="shared" si="8"/>
        <v>#REF!</v>
      </c>
      <c r="I33" s="124" t="e">
        <f>'Pemakaian Dalam Negeri'!#REF!</f>
        <v>#REF!</v>
      </c>
      <c r="J33" s="125" t="e">
        <f>'Pemakaian Dalam Negeri'!#REF!</f>
        <v>#REF!</v>
      </c>
      <c r="K33" s="124" t="e">
        <f>'Pemakaian Dalam Negeri'!#REF!</f>
        <v>#REF!</v>
      </c>
      <c r="L33" s="124" t="e">
        <f>'Pemakaian Dalam Negeri'!#REF!</f>
        <v>#REF!</v>
      </c>
      <c r="M33" s="124" t="e">
        <f>'Pemakaian Dalam Negeri'!#REF!</f>
        <v>#REF!</v>
      </c>
      <c r="N33" s="124" t="e">
        <f>'Pemakaian Dalam Negeri'!#REF!</f>
        <v>#REF!</v>
      </c>
      <c r="O33" s="124" t="e">
        <f t="shared" si="1"/>
        <v>#REF!</v>
      </c>
      <c r="P33" s="124" t="e">
        <f t="shared" si="2"/>
        <v>#REF!</v>
      </c>
      <c r="Q33" s="126" t="e">
        <f t="shared" si="3"/>
        <v>#REF!</v>
      </c>
      <c r="R33" s="126" t="e">
        <f t="shared" si="7"/>
        <v>#REF!</v>
      </c>
      <c r="S33" s="126" t="e">
        <f t="shared" si="4"/>
        <v>#REF!</v>
      </c>
      <c r="T33" s="126" t="e">
        <f t="shared" si="5"/>
        <v>#REF!</v>
      </c>
      <c r="U33" s="127" t="e">
        <f t="shared" si="6"/>
        <v>#REF!</v>
      </c>
      <c r="V33" s="128"/>
      <c r="W33" s="41">
        <v>100</v>
      </c>
      <c r="X33" s="41">
        <v>0</v>
      </c>
      <c r="Y33" s="41">
        <v>0.05</v>
      </c>
      <c r="Z33" s="41">
        <v>63.29</v>
      </c>
      <c r="AA33" s="41"/>
      <c r="AB33" s="155">
        <v>3.65</v>
      </c>
      <c r="AC33" s="149"/>
      <c r="AD33" s="119">
        <v>100</v>
      </c>
      <c r="AE33" s="131">
        <v>381</v>
      </c>
      <c r="AF33" s="131">
        <v>40.4</v>
      </c>
      <c r="AG33" s="131">
        <v>16.7</v>
      </c>
      <c r="AH33" s="120">
        <v>110</v>
      </c>
      <c r="AI33" s="120">
        <v>1.07</v>
      </c>
      <c r="AJ33" s="120">
        <v>0</v>
      </c>
      <c r="AK33" s="120">
        <v>227</v>
      </c>
      <c r="AL33" s="120">
        <v>585</v>
      </c>
      <c r="AM33" s="120">
        <v>8</v>
      </c>
      <c r="AN33" s="120"/>
      <c r="AO33" s="120"/>
    </row>
    <row r="34" spans="1:41" ht="14.1" customHeight="1" x14ac:dyDescent="0.2">
      <c r="A34" s="24"/>
      <c r="B34" s="4" t="s">
        <v>65</v>
      </c>
      <c r="C34" s="122">
        <f>Produksi!D36</f>
        <v>0</v>
      </c>
      <c r="D34" s="122">
        <f>Produksi!F36</f>
        <v>0</v>
      </c>
      <c r="E34" s="123" t="e">
        <f>#REF!</f>
        <v>#REF!</v>
      </c>
      <c r="F34" s="124" t="e">
        <f>#REF!+#REF!</f>
        <v>#REF!</v>
      </c>
      <c r="G34" s="124"/>
      <c r="H34" s="124" t="e">
        <f t="shared" si="8"/>
        <v>#REF!</v>
      </c>
      <c r="I34" s="124">
        <f>'Pemakaian Dalam Negeri'!E41</f>
        <v>260.26000000000005</v>
      </c>
      <c r="J34" s="125">
        <f>'Pemakaian Dalam Negeri'!F41</f>
        <v>0</v>
      </c>
      <c r="K34" s="124">
        <f>'Pemakaian Dalam Negeri'!G41</f>
        <v>0</v>
      </c>
      <c r="L34" s="124">
        <f>'Pemakaian Dalam Negeri'!H41</f>
        <v>0</v>
      </c>
      <c r="M34" s="124">
        <f>'Pemakaian Dalam Negeri'!I41</f>
        <v>0</v>
      </c>
      <c r="N34" s="124">
        <f>'Pemakaian Dalam Negeri'!J41</f>
        <v>1598.74</v>
      </c>
      <c r="O34" s="124" t="e">
        <f t="shared" si="1"/>
        <v>#REF!</v>
      </c>
      <c r="P34" s="124" t="e">
        <f t="shared" si="2"/>
        <v>#REF!</v>
      </c>
      <c r="Q34" s="126" t="e">
        <f t="shared" si="3"/>
        <v>#REF!</v>
      </c>
      <c r="R34" s="126" t="e">
        <f t="shared" si="7"/>
        <v>#REF!</v>
      </c>
      <c r="S34" s="126" t="e">
        <f t="shared" si="4"/>
        <v>#REF!</v>
      </c>
      <c r="T34" s="126" t="e">
        <f t="shared" si="5"/>
        <v>#REF!</v>
      </c>
      <c r="U34" s="127" t="e">
        <f t="shared" si="6"/>
        <v>#REF!</v>
      </c>
      <c r="V34" s="128"/>
      <c r="W34" s="41">
        <v>100</v>
      </c>
      <c r="X34" s="41">
        <v>0</v>
      </c>
      <c r="Y34" s="41">
        <v>0</v>
      </c>
      <c r="Z34" s="41"/>
      <c r="AA34" s="41"/>
      <c r="AB34" s="155">
        <v>1.0900000000000001</v>
      </c>
      <c r="AC34" s="41">
        <v>0</v>
      </c>
      <c r="AD34" s="119">
        <v>100</v>
      </c>
      <c r="AE34" s="131">
        <v>337.3</v>
      </c>
      <c r="AF34" s="131">
        <v>20.27</v>
      </c>
      <c r="AG34" s="131">
        <v>1.8</v>
      </c>
      <c r="AH34" s="120">
        <v>157</v>
      </c>
      <c r="AI34" s="120">
        <v>0.64</v>
      </c>
      <c r="AJ34" s="120">
        <v>6</v>
      </c>
      <c r="AK34" s="120">
        <v>125</v>
      </c>
      <c r="AL34" s="120">
        <v>320</v>
      </c>
      <c r="AM34" s="120">
        <v>6.7</v>
      </c>
      <c r="AN34" s="120"/>
      <c r="AO34" s="120"/>
    </row>
    <row r="35" spans="1:41" ht="14.1" customHeight="1" x14ac:dyDescent="0.2">
      <c r="A35" s="23"/>
      <c r="B35" s="3" t="s">
        <v>66</v>
      </c>
      <c r="C35" s="122">
        <f>Produksi!D37</f>
        <v>0</v>
      </c>
      <c r="D35" s="122">
        <f>Produksi!F38</f>
        <v>0</v>
      </c>
      <c r="E35" s="123" t="e">
        <f>#REF!</f>
        <v>#REF!</v>
      </c>
      <c r="F35" s="124" t="e">
        <f>#REF!+#REF!</f>
        <v>#REF!</v>
      </c>
      <c r="G35" s="124"/>
      <c r="H35" s="124" t="e">
        <f t="shared" si="8"/>
        <v>#REF!</v>
      </c>
      <c r="I35" s="124">
        <f>'Pemakaian Dalam Negeri'!E42</f>
        <v>0</v>
      </c>
      <c r="J35" s="125">
        <f>'Pemakaian Dalam Negeri'!F42</f>
        <v>0</v>
      </c>
      <c r="K35" s="124">
        <f>'Pemakaian Dalam Negeri'!G42</f>
        <v>0</v>
      </c>
      <c r="L35" s="124">
        <f>'Pemakaian Dalam Negeri'!H42</f>
        <v>0</v>
      </c>
      <c r="M35" s="124">
        <f>'Pemakaian Dalam Negeri'!I42</f>
        <v>0</v>
      </c>
      <c r="N35" s="124">
        <f>'Pemakaian Dalam Negeri'!J42</f>
        <v>0</v>
      </c>
      <c r="O35" s="124" t="e">
        <f t="shared" si="1"/>
        <v>#REF!</v>
      </c>
      <c r="P35" s="124" t="e">
        <f t="shared" si="2"/>
        <v>#REF!</v>
      </c>
      <c r="Q35" s="126" t="e">
        <f t="shared" si="3"/>
        <v>#REF!</v>
      </c>
      <c r="R35" s="126" t="e">
        <f t="shared" si="7"/>
        <v>#REF!</v>
      </c>
      <c r="S35" s="126" t="e">
        <f t="shared" si="4"/>
        <v>#REF!</v>
      </c>
      <c r="T35" s="126" t="e">
        <f t="shared" si="5"/>
        <v>#REF!</v>
      </c>
      <c r="U35" s="127" t="e">
        <f t="shared" si="6"/>
        <v>#REF!</v>
      </c>
      <c r="V35" s="135"/>
      <c r="W35" s="136"/>
      <c r="X35" s="137"/>
      <c r="Y35" s="137"/>
      <c r="Z35" s="137"/>
      <c r="AA35" s="137"/>
      <c r="AB35" s="137"/>
      <c r="AC35" s="141"/>
      <c r="AD35" s="119">
        <v>53</v>
      </c>
      <c r="AE35" s="131">
        <v>359</v>
      </c>
      <c r="AF35" s="131">
        <v>3.4</v>
      </c>
      <c r="AG35" s="131">
        <v>34.700000000000003</v>
      </c>
      <c r="AH35" s="120">
        <v>0</v>
      </c>
      <c r="AI35" s="120">
        <v>0.1</v>
      </c>
      <c r="AJ35" s="120">
        <v>2</v>
      </c>
      <c r="AK35" s="120">
        <v>21</v>
      </c>
      <c r="AL35" s="120">
        <v>98</v>
      </c>
      <c r="AM35" s="120">
        <v>2</v>
      </c>
      <c r="AN35" s="120"/>
      <c r="AO35" s="120"/>
    </row>
    <row r="36" spans="1:41" ht="14.1" customHeight="1" x14ac:dyDescent="0.2">
      <c r="A36" s="23"/>
      <c r="B36" s="3" t="s">
        <v>67</v>
      </c>
      <c r="C36" s="122">
        <f>Produksi!D39</f>
        <v>0</v>
      </c>
      <c r="D36" s="122">
        <f>Produksi!F39</f>
        <v>0</v>
      </c>
      <c r="E36" s="123" t="e">
        <f>#REF!</f>
        <v>#REF!</v>
      </c>
      <c r="F36" s="124" t="e">
        <f>#REF!+#REF!</f>
        <v>#REF!</v>
      </c>
      <c r="G36" s="124"/>
      <c r="H36" s="124" t="e">
        <f t="shared" si="8"/>
        <v>#REF!</v>
      </c>
      <c r="I36" s="124">
        <f>'Pemakaian Dalam Negeri'!E43</f>
        <v>0</v>
      </c>
      <c r="J36" s="125">
        <f>'Pemakaian Dalam Negeri'!F43</f>
        <v>0</v>
      </c>
      <c r="K36" s="124">
        <f>'Pemakaian Dalam Negeri'!G43</f>
        <v>0</v>
      </c>
      <c r="L36" s="124">
        <f>'Pemakaian Dalam Negeri'!H43</f>
        <v>0</v>
      </c>
      <c r="M36" s="124">
        <f>'Pemakaian Dalam Negeri'!I43</f>
        <v>0</v>
      </c>
      <c r="N36" s="124">
        <f>'Pemakaian Dalam Negeri'!J43</f>
        <v>0</v>
      </c>
      <c r="O36" s="124" t="e">
        <f t="shared" si="1"/>
        <v>#REF!</v>
      </c>
      <c r="P36" s="124" t="e">
        <f t="shared" si="2"/>
        <v>#REF!</v>
      </c>
      <c r="Q36" s="126" t="e">
        <f t="shared" si="3"/>
        <v>#REF!</v>
      </c>
      <c r="R36" s="126" t="e">
        <f t="shared" si="7"/>
        <v>#REF!</v>
      </c>
      <c r="S36" s="126" t="e">
        <f t="shared" si="4"/>
        <v>#REF!</v>
      </c>
      <c r="T36" s="126" t="e">
        <f t="shared" si="5"/>
        <v>#REF!</v>
      </c>
      <c r="U36" s="127" t="e">
        <f t="shared" si="6"/>
        <v>#REF!</v>
      </c>
      <c r="V36" s="135"/>
      <c r="W36" s="136"/>
      <c r="X36" s="137"/>
      <c r="Y36" s="137"/>
      <c r="Z36" s="137"/>
      <c r="AA36" s="137"/>
      <c r="AB36" s="137"/>
      <c r="AC36" s="141"/>
      <c r="AD36" s="119"/>
      <c r="AE36" s="131"/>
      <c r="AF36" s="131"/>
      <c r="AG36" s="131"/>
      <c r="AH36" s="120"/>
      <c r="AI36" s="120"/>
      <c r="AJ36" s="120"/>
      <c r="AK36" s="120"/>
      <c r="AL36" s="120"/>
      <c r="AM36" s="120"/>
      <c r="AN36" s="120"/>
      <c r="AO36" s="120"/>
    </row>
    <row r="37" spans="1:41" ht="14.1" customHeight="1" x14ac:dyDescent="0.2">
      <c r="A37" s="24"/>
      <c r="B37" s="4"/>
      <c r="C37" s="122">
        <f>Produksi!D40</f>
        <v>0</v>
      </c>
      <c r="D37" s="122">
        <f>Produksi!F40</f>
        <v>0</v>
      </c>
      <c r="E37" s="123" t="e">
        <f>#REF!</f>
        <v>#REF!</v>
      </c>
      <c r="F37" s="124" t="e">
        <f>#REF!+#REF!</f>
        <v>#REF!</v>
      </c>
      <c r="G37" s="124"/>
      <c r="H37" s="124" t="e">
        <f t="shared" si="8"/>
        <v>#REF!</v>
      </c>
      <c r="I37" s="124"/>
      <c r="J37" s="125"/>
      <c r="K37" s="124"/>
      <c r="L37" s="124"/>
      <c r="M37" s="124"/>
      <c r="N37" s="124"/>
      <c r="O37" s="124" t="e">
        <f t="shared" si="1"/>
        <v>#REF!</v>
      </c>
      <c r="P37" s="124" t="e">
        <f t="shared" si="2"/>
        <v>#REF!</v>
      </c>
      <c r="Q37" s="126"/>
      <c r="R37" s="126"/>
      <c r="S37" s="126"/>
      <c r="T37" s="126"/>
      <c r="U37" s="127"/>
      <c r="V37" s="135"/>
      <c r="W37" s="136">
        <v>100</v>
      </c>
      <c r="X37" s="136">
        <v>0</v>
      </c>
      <c r="Y37" s="136">
        <v>0</v>
      </c>
      <c r="Z37" s="136">
        <v>0</v>
      </c>
      <c r="AA37" s="136">
        <v>0</v>
      </c>
      <c r="AB37" s="148">
        <v>1.1100000000000001</v>
      </c>
      <c r="AC37" s="141">
        <f t="shared" ref="AC37:AC49" si="9">W37-X37-Y37-Z37-AA37-AB37</f>
        <v>98.89</v>
      </c>
      <c r="AD37" s="119"/>
      <c r="AE37" s="131"/>
      <c r="AF37" s="131"/>
      <c r="AG37" s="131"/>
      <c r="AH37" s="120"/>
      <c r="AI37" s="120"/>
      <c r="AJ37" s="120"/>
      <c r="AK37" s="120"/>
      <c r="AL37" s="120"/>
      <c r="AM37" s="120"/>
      <c r="AN37" s="120"/>
      <c r="AO37" s="120"/>
    </row>
    <row r="38" spans="1:41" ht="14.1" customHeight="1" thickBot="1" x14ac:dyDescent="0.25">
      <c r="A38" s="6" t="s">
        <v>68</v>
      </c>
      <c r="B38" s="4"/>
      <c r="C38" s="122">
        <f>Produksi!D41</f>
        <v>0</v>
      </c>
      <c r="D38" s="122">
        <f>Produksi!F41</f>
        <v>0</v>
      </c>
      <c r="E38" s="123" t="e">
        <f>#REF!</f>
        <v>#REF!</v>
      </c>
      <c r="F38" s="124" t="e">
        <f>#REF!+#REF!</f>
        <v>#REF!</v>
      </c>
      <c r="G38" s="124"/>
      <c r="H38" s="124" t="e">
        <f t="shared" si="8"/>
        <v>#REF!</v>
      </c>
      <c r="I38" s="124">
        <f>'Pemakaian Dalam Negeri'!E45</f>
        <v>0</v>
      </c>
      <c r="J38" s="125">
        <f>'Pemakaian Dalam Negeri'!F45</f>
        <v>0</v>
      </c>
      <c r="K38" s="124">
        <f>'Pemakaian Dalam Negeri'!G45</f>
        <v>0</v>
      </c>
      <c r="L38" s="124">
        <f>'Pemakaian Dalam Negeri'!H45</f>
        <v>0</v>
      </c>
      <c r="M38" s="124" t="e">
        <f>'Pemakaian Dalam Negeri'!#REF!</f>
        <v>#REF!</v>
      </c>
      <c r="N38" s="124">
        <f>'Pemakaian Dalam Negeri'!I45</f>
        <v>0</v>
      </c>
      <c r="O38" s="124" t="e">
        <f t="shared" si="1"/>
        <v>#REF!</v>
      </c>
      <c r="P38" s="124" t="e">
        <f t="shared" si="2"/>
        <v>#REF!</v>
      </c>
      <c r="Q38" s="126"/>
      <c r="R38" s="126"/>
      <c r="S38" s="143" t="e">
        <f>SUM(S39:S78)</f>
        <v>#REF!</v>
      </c>
      <c r="T38" s="143" t="e">
        <f>SUM(T39:T78)</f>
        <v>#REF!</v>
      </c>
      <c r="U38" s="143" t="e">
        <f>SUM(U39:U78)</f>
        <v>#REF!</v>
      </c>
      <c r="V38" s="135"/>
      <c r="W38" s="136">
        <v>100</v>
      </c>
      <c r="X38" s="136">
        <v>0</v>
      </c>
      <c r="Y38" s="136">
        <v>0</v>
      </c>
      <c r="Z38" s="136">
        <v>0</v>
      </c>
      <c r="AA38" s="136">
        <v>0</v>
      </c>
      <c r="AB38" s="148">
        <v>1.1100000000000001</v>
      </c>
      <c r="AC38" s="141">
        <f t="shared" si="9"/>
        <v>98.89</v>
      </c>
      <c r="AD38" s="119"/>
      <c r="AE38" s="131"/>
      <c r="AF38" s="131"/>
      <c r="AG38" s="131"/>
      <c r="AH38" s="120"/>
      <c r="AI38" s="120"/>
      <c r="AJ38" s="120"/>
      <c r="AK38" s="120"/>
      <c r="AL38" s="120"/>
      <c r="AM38" s="120"/>
      <c r="AN38" s="120"/>
      <c r="AO38" s="120"/>
    </row>
    <row r="39" spans="1:41" ht="14.1" customHeight="1" x14ac:dyDescent="0.2">
      <c r="A39" s="24"/>
      <c r="B39" s="10" t="s">
        <v>69</v>
      </c>
      <c r="C39" s="122">
        <f>Produksi!D42</f>
        <v>85.3</v>
      </c>
      <c r="D39" s="122">
        <f>Produksi!F42</f>
        <v>85.3</v>
      </c>
      <c r="E39" s="123" t="e">
        <f>#REF!</f>
        <v>#REF!</v>
      </c>
      <c r="F39" s="124" t="e">
        <f>#REF!+#REF!</f>
        <v>#REF!</v>
      </c>
      <c r="G39" s="124"/>
      <c r="H39" s="124" t="e">
        <f t="shared" si="8"/>
        <v>#REF!</v>
      </c>
      <c r="I39" s="124">
        <f>'Pemakaian Dalam Negeri'!E46</f>
        <v>0</v>
      </c>
      <c r="J39" s="125">
        <f>'Pemakaian Dalam Negeri'!F46</f>
        <v>0</v>
      </c>
      <c r="K39" s="124">
        <f>'Pemakaian Dalam Negeri'!G46</f>
        <v>0</v>
      </c>
      <c r="L39" s="124">
        <f>'Pemakaian Dalam Negeri'!H46</f>
        <v>0</v>
      </c>
      <c r="M39" s="124">
        <f>'Pemakaian Dalam Negeri'!I46</f>
        <v>0</v>
      </c>
      <c r="N39" s="124">
        <f>'Pemakaian Dalam Negeri'!J46</f>
        <v>0</v>
      </c>
      <c r="O39" s="124" t="e">
        <f t="shared" si="1"/>
        <v>#REF!</v>
      </c>
      <c r="P39" s="124" t="e">
        <f t="shared" si="2"/>
        <v>#REF!</v>
      </c>
      <c r="Q39" s="126" t="e">
        <f t="shared" si="3"/>
        <v>#REF!</v>
      </c>
      <c r="R39" s="126" t="e">
        <f t="shared" si="7"/>
        <v>#REF!</v>
      </c>
      <c r="S39" s="126" t="e">
        <f t="shared" si="4"/>
        <v>#REF!</v>
      </c>
      <c r="T39" s="126" t="e">
        <f t="shared" si="5"/>
        <v>#REF!</v>
      </c>
      <c r="U39" s="127" t="e">
        <f t="shared" si="6"/>
        <v>#REF!</v>
      </c>
      <c r="V39" s="135"/>
      <c r="W39" s="136">
        <v>100</v>
      </c>
      <c r="X39" s="136">
        <v>0</v>
      </c>
      <c r="Y39" s="136">
        <v>0</v>
      </c>
      <c r="Z39" s="136">
        <v>0</v>
      </c>
      <c r="AA39" s="136">
        <v>0</v>
      </c>
      <c r="AB39" s="148">
        <v>1.1100000000000001</v>
      </c>
      <c r="AC39" s="141">
        <f t="shared" si="9"/>
        <v>98.89</v>
      </c>
      <c r="AD39" s="119">
        <v>61</v>
      </c>
      <c r="AE39" s="131">
        <v>85</v>
      </c>
      <c r="AF39" s="131">
        <v>0.9</v>
      </c>
      <c r="AG39" s="131">
        <v>6.5</v>
      </c>
      <c r="AH39" s="120">
        <v>180</v>
      </c>
      <c r="AI39" s="120">
        <v>0.05</v>
      </c>
      <c r="AJ39" s="120">
        <v>13</v>
      </c>
      <c r="AK39" s="120">
        <v>10</v>
      </c>
      <c r="AL39" s="120">
        <v>20</v>
      </c>
      <c r="AM39" s="120">
        <v>0.9</v>
      </c>
      <c r="AN39" s="120"/>
      <c r="AO39" s="120"/>
    </row>
    <row r="40" spans="1:41" ht="14.1" customHeight="1" x14ac:dyDescent="0.2">
      <c r="A40" s="24"/>
      <c r="B40" s="10" t="s">
        <v>70</v>
      </c>
      <c r="C40" s="122">
        <f>Produksi!D43</f>
        <v>2</v>
      </c>
      <c r="D40" s="122">
        <f>Produksi!F43</f>
        <v>2</v>
      </c>
      <c r="E40" s="123" t="e">
        <f>#REF!</f>
        <v>#REF!</v>
      </c>
      <c r="F40" s="124" t="e">
        <f>#REF!+#REF!</f>
        <v>#REF!</v>
      </c>
      <c r="G40" s="124"/>
      <c r="H40" s="124" t="e">
        <f t="shared" si="8"/>
        <v>#REF!</v>
      </c>
      <c r="I40" s="124">
        <f>'Pemakaian Dalam Negeri'!E47</f>
        <v>0</v>
      </c>
      <c r="J40" s="125">
        <f>'Pemakaian Dalam Negeri'!F47</f>
        <v>0</v>
      </c>
      <c r="K40" s="124">
        <f>'Pemakaian Dalam Negeri'!G47</f>
        <v>0</v>
      </c>
      <c r="L40" s="124">
        <f>'Pemakaian Dalam Negeri'!H47</f>
        <v>0</v>
      </c>
      <c r="M40" s="124">
        <f>'Pemakaian Dalam Negeri'!I47</f>
        <v>0</v>
      </c>
      <c r="N40" s="124">
        <f>'Pemakaian Dalam Negeri'!J47</f>
        <v>0</v>
      </c>
      <c r="O40" s="124" t="e">
        <f t="shared" si="1"/>
        <v>#REF!</v>
      </c>
      <c r="P40" s="124" t="e">
        <f t="shared" si="2"/>
        <v>#REF!</v>
      </c>
      <c r="Q40" s="126" t="e">
        <f t="shared" si="3"/>
        <v>#REF!</v>
      </c>
      <c r="R40" s="126" t="e">
        <f t="shared" si="7"/>
        <v>#REF!</v>
      </c>
      <c r="S40" s="126" t="e">
        <f t="shared" si="4"/>
        <v>#REF!</v>
      </c>
      <c r="T40" s="126" t="e">
        <f t="shared" si="5"/>
        <v>#REF!</v>
      </c>
      <c r="U40" s="127" t="e">
        <f t="shared" si="6"/>
        <v>#REF!</v>
      </c>
      <c r="V40" s="135"/>
      <c r="W40" s="136">
        <v>100</v>
      </c>
      <c r="X40" s="136">
        <v>0</v>
      </c>
      <c r="Y40" s="136">
        <v>0</v>
      </c>
      <c r="Z40" s="136">
        <v>0</v>
      </c>
      <c r="AA40" s="136">
        <v>0</v>
      </c>
      <c r="AB40" s="148">
        <v>1.1100000000000001</v>
      </c>
      <c r="AC40" s="141">
        <f t="shared" si="9"/>
        <v>98.89</v>
      </c>
      <c r="AD40" s="119">
        <v>71</v>
      </c>
      <c r="AE40" s="131">
        <v>31.13</v>
      </c>
      <c r="AF40" s="131">
        <v>0.53</v>
      </c>
      <c r="AG40" s="131">
        <v>0.16</v>
      </c>
      <c r="AH40" s="120">
        <v>210</v>
      </c>
      <c r="AI40" s="120">
        <v>0.06</v>
      </c>
      <c r="AJ40" s="120">
        <v>41</v>
      </c>
      <c r="AK40" s="120">
        <v>30</v>
      </c>
      <c r="AL40" s="120">
        <v>24</v>
      </c>
      <c r="AM40" s="120">
        <v>0.4</v>
      </c>
      <c r="AN40" s="120"/>
      <c r="AO40" s="120"/>
    </row>
    <row r="41" spans="1:41" ht="14.1" customHeight="1" x14ac:dyDescent="0.2">
      <c r="A41" s="24"/>
      <c r="B41" s="10" t="s">
        <v>71</v>
      </c>
      <c r="C41" s="122">
        <f>Produksi!D44</f>
        <v>5706.2</v>
      </c>
      <c r="D41" s="122">
        <f>Produksi!F44</f>
        <v>5706.2</v>
      </c>
      <c r="E41" s="123" t="e">
        <f>#REF!</f>
        <v>#REF!</v>
      </c>
      <c r="F41" s="124" t="e">
        <f>#REF!+#REF!</f>
        <v>#REF!</v>
      </c>
      <c r="G41" s="124"/>
      <c r="H41" s="124" t="e">
        <f t="shared" si="8"/>
        <v>#REF!</v>
      </c>
      <c r="I41" s="124">
        <f>'Pemakaian Dalam Negeri'!E48</f>
        <v>0</v>
      </c>
      <c r="J41" s="125">
        <f>'Pemakaian Dalam Negeri'!F48</f>
        <v>0</v>
      </c>
      <c r="K41" s="124">
        <f>'Pemakaian Dalam Negeri'!G48</f>
        <v>0</v>
      </c>
      <c r="L41" s="124">
        <f>'Pemakaian Dalam Negeri'!H48</f>
        <v>3.1657345607896867</v>
      </c>
      <c r="M41" s="124">
        <f>'Pemakaian Dalam Negeri'!I48</f>
        <v>0</v>
      </c>
      <c r="N41" s="124">
        <f>'Pemakaian Dalam Negeri'!J48</f>
        <v>282.03557722206494</v>
      </c>
      <c r="O41" s="124" t="e">
        <f t="shared" si="1"/>
        <v>#REF!</v>
      </c>
      <c r="P41" s="124" t="e">
        <f t="shared" si="2"/>
        <v>#REF!</v>
      </c>
      <c r="Q41" s="126" t="e">
        <f t="shared" si="3"/>
        <v>#REF!</v>
      </c>
      <c r="R41" s="126" t="e">
        <f t="shared" si="7"/>
        <v>#REF!</v>
      </c>
      <c r="S41" s="126" t="e">
        <f t="shared" si="4"/>
        <v>#REF!</v>
      </c>
      <c r="T41" s="126" t="e">
        <f t="shared" si="5"/>
        <v>#REF!</v>
      </c>
      <c r="U41" s="127" t="e">
        <f t="shared" si="6"/>
        <v>#REF!</v>
      </c>
      <c r="V41" s="135"/>
      <c r="W41" s="136">
        <v>100</v>
      </c>
      <c r="X41" s="136">
        <v>0</v>
      </c>
      <c r="Y41" s="136">
        <v>0</v>
      </c>
      <c r="Z41" s="136">
        <v>0</v>
      </c>
      <c r="AA41" s="136">
        <v>0</v>
      </c>
      <c r="AB41" s="148">
        <v>1.1100000000000001</v>
      </c>
      <c r="AC41" s="141">
        <f t="shared" si="9"/>
        <v>98.89</v>
      </c>
      <c r="AD41" s="119">
        <v>64</v>
      </c>
      <c r="AE41" s="131">
        <v>63</v>
      </c>
      <c r="AF41" s="131">
        <v>1</v>
      </c>
      <c r="AG41" s="131">
        <v>0.2</v>
      </c>
      <c r="AH41" s="120">
        <v>0</v>
      </c>
      <c r="AI41" s="120">
        <v>0.05</v>
      </c>
      <c r="AJ41" s="120">
        <v>9</v>
      </c>
      <c r="AK41" s="120">
        <v>18</v>
      </c>
      <c r="AL41" s="120">
        <v>9</v>
      </c>
      <c r="AM41" s="120">
        <v>0.9</v>
      </c>
      <c r="AN41" s="120"/>
      <c r="AO41" s="120"/>
    </row>
    <row r="42" spans="1:41" ht="14.1" customHeight="1" x14ac:dyDescent="0.2">
      <c r="A42" s="24"/>
      <c r="B42" s="10" t="s">
        <v>72</v>
      </c>
      <c r="C42" s="122">
        <f>Produksi!D45</f>
        <v>4808.8999999999996</v>
      </c>
      <c r="D42" s="122">
        <f>Produksi!F45</f>
        <v>4808.8999999999996</v>
      </c>
      <c r="E42" s="123" t="e">
        <f>#REF!</f>
        <v>#REF!</v>
      </c>
      <c r="F42" s="124" t="e">
        <f>#REF!+#REF!</f>
        <v>#REF!</v>
      </c>
      <c r="G42" s="124"/>
      <c r="H42" s="124" t="e">
        <f t="shared" si="8"/>
        <v>#REF!</v>
      </c>
      <c r="I42" s="124">
        <f>'Pemakaian Dalam Negeri'!E49</f>
        <v>0</v>
      </c>
      <c r="J42" s="125">
        <f>'Pemakaian Dalam Negeri'!F49</f>
        <v>0</v>
      </c>
      <c r="K42" s="124">
        <f>'Pemakaian Dalam Negeri'!G49</f>
        <v>0</v>
      </c>
      <c r="L42" s="124">
        <f>'Pemakaian Dalam Negeri'!H49</f>
        <v>16.290082391638212</v>
      </c>
      <c r="M42" s="124">
        <f>'Pemakaian Dalam Negeri'!I49</f>
        <v>0</v>
      </c>
      <c r="N42" s="124">
        <f>'Pemakaian Dalam Negeri'!J49</f>
        <v>1451.2849078460383</v>
      </c>
      <c r="O42" s="124" t="e">
        <f t="shared" si="1"/>
        <v>#REF!</v>
      </c>
      <c r="P42" s="124" t="e">
        <f t="shared" si="2"/>
        <v>#REF!</v>
      </c>
      <c r="Q42" s="126" t="e">
        <f t="shared" si="3"/>
        <v>#REF!</v>
      </c>
      <c r="R42" s="126" t="e">
        <f t="shared" si="7"/>
        <v>#REF!</v>
      </c>
      <c r="S42" s="126" t="e">
        <f t="shared" si="4"/>
        <v>#REF!</v>
      </c>
      <c r="T42" s="126" t="e">
        <f t="shared" si="5"/>
        <v>#REF!</v>
      </c>
      <c r="U42" s="127" t="e">
        <f t="shared" si="6"/>
        <v>#REF!</v>
      </c>
      <c r="V42" s="135"/>
      <c r="W42" s="136">
        <v>100</v>
      </c>
      <c r="X42" s="136">
        <v>0</v>
      </c>
      <c r="Y42" s="136">
        <v>0</v>
      </c>
      <c r="Z42" s="136">
        <v>0</v>
      </c>
      <c r="AA42" s="136">
        <v>0</v>
      </c>
      <c r="AB42" s="148">
        <v>1.1100000000000001</v>
      </c>
      <c r="AC42" s="141">
        <f t="shared" si="9"/>
        <v>98.89</v>
      </c>
      <c r="AD42" s="119">
        <v>22</v>
      </c>
      <c r="AE42" s="131">
        <v>134</v>
      </c>
      <c r="AF42" s="131">
        <v>2.5</v>
      </c>
      <c r="AG42" s="131">
        <v>3</v>
      </c>
      <c r="AH42" s="120">
        <v>175</v>
      </c>
      <c r="AI42" s="120">
        <v>0.1</v>
      </c>
      <c r="AJ42" s="120">
        <v>53</v>
      </c>
      <c r="AK42" s="120">
        <v>7.4</v>
      </c>
      <c r="AL42" s="120">
        <v>44</v>
      </c>
      <c r="AM42" s="120">
        <v>1.3</v>
      </c>
      <c r="AN42" s="120"/>
      <c r="AO42" s="120"/>
    </row>
    <row r="43" spans="1:41" ht="14.1" customHeight="1" x14ac:dyDescent="0.2">
      <c r="A43" s="24"/>
      <c r="B43" s="10" t="s">
        <v>73</v>
      </c>
      <c r="C43" s="122">
        <f>Produksi!D46</f>
        <v>10.199999999999999</v>
      </c>
      <c r="D43" s="122">
        <f>Produksi!F46</f>
        <v>10.199999999999999</v>
      </c>
      <c r="E43" s="123" t="e">
        <f>#REF!</f>
        <v>#REF!</v>
      </c>
      <c r="F43" s="124" t="e">
        <f>#REF!+#REF!</f>
        <v>#REF!</v>
      </c>
      <c r="G43" s="124"/>
      <c r="H43" s="124" t="e">
        <f t="shared" si="8"/>
        <v>#REF!</v>
      </c>
      <c r="I43" s="124">
        <f>'Pemakaian Dalam Negeri'!E50</f>
        <v>0</v>
      </c>
      <c r="J43" s="125">
        <f>'Pemakaian Dalam Negeri'!F50</f>
        <v>0</v>
      </c>
      <c r="K43" s="124">
        <f>'Pemakaian Dalam Negeri'!G50</f>
        <v>0</v>
      </c>
      <c r="L43" s="124">
        <f>'Pemakaian Dalam Negeri'!H50</f>
        <v>63.338819999999998</v>
      </c>
      <c r="M43" s="124">
        <f>'Pemakaian Dalam Negeri'!I50</f>
        <v>0</v>
      </c>
      <c r="N43" s="124">
        <f>'Pemakaian Dalam Negeri'!J50</f>
        <v>5642.8611799999999</v>
      </c>
      <c r="O43" s="124" t="e">
        <f t="shared" si="1"/>
        <v>#REF!</v>
      </c>
      <c r="P43" s="124" t="e">
        <f t="shared" si="2"/>
        <v>#REF!</v>
      </c>
      <c r="Q43" s="126" t="e">
        <f t="shared" si="3"/>
        <v>#REF!</v>
      </c>
      <c r="R43" s="126" t="e">
        <f t="shared" si="7"/>
        <v>#REF!</v>
      </c>
      <c r="S43" s="126" t="e">
        <f t="shared" si="4"/>
        <v>#REF!</v>
      </c>
      <c r="T43" s="126" t="e">
        <f t="shared" si="5"/>
        <v>#REF!</v>
      </c>
      <c r="U43" s="127" t="e">
        <f t="shared" si="6"/>
        <v>#REF!</v>
      </c>
      <c r="V43" s="135"/>
      <c r="W43" s="136">
        <v>100</v>
      </c>
      <c r="X43" s="136">
        <v>0</v>
      </c>
      <c r="Y43" s="136">
        <v>0</v>
      </c>
      <c r="Z43" s="136">
        <v>0</v>
      </c>
      <c r="AA43" s="136">
        <v>0</v>
      </c>
      <c r="AB43" s="148">
        <v>1.1100000000000001</v>
      </c>
      <c r="AC43" s="141">
        <f t="shared" si="9"/>
        <v>98.89</v>
      </c>
      <c r="AD43" s="119">
        <v>82</v>
      </c>
      <c r="AE43" s="131">
        <v>49</v>
      </c>
      <c r="AF43" s="131">
        <v>0.9</v>
      </c>
      <c r="AG43" s="131">
        <v>0.3</v>
      </c>
      <c r="AH43" s="120">
        <v>0</v>
      </c>
      <c r="AI43" s="120">
        <v>0</v>
      </c>
      <c r="AJ43" s="120">
        <v>5</v>
      </c>
      <c r="AK43" s="120">
        <v>7.5</v>
      </c>
      <c r="AL43" s="120">
        <v>9</v>
      </c>
      <c r="AM43" s="120">
        <v>1.1000000000000001</v>
      </c>
      <c r="AN43" s="120"/>
      <c r="AO43" s="120"/>
    </row>
    <row r="44" spans="1:41" ht="14.1" customHeight="1" x14ac:dyDescent="0.2">
      <c r="A44" s="24"/>
      <c r="B44" s="10" t="s">
        <v>74</v>
      </c>
      <c r="C44" s="122">
        <f>Produksi!D47</f>
        <v>8</v>
      </c>
      <c r="D44" s="122">
        <f>Produksi!F47</f>
        <v>8</v>
      </c>
      <c r="E44" s="123" t="e">
        <f>#REF!</f>
        <v>#REF!</v>
      </c>
      <c r="F44" s="124" t="e">
        <f>#REF!+#REF!</f>
        <v>#REF!</v>
      </c>
      <c r="G44" s="124"/>
      <c r="H44" s="124" t="e">
        <f t="shared" si="8"/>
        <v>#REF!</v>
      </c>
      <c r="I44" s="124">
        <f>'Pemakaian Dalam Negeri'!E51</f>
        <v>0</v>
      </c>
      <c r="J44" s="125">
        <f>'Pemakaian Dalam Negeri'!F51</f>
        <v>0</v>
      </c>
      <c r="K44" s="124">
        <f>'Pemakaian Dalam Negeri'!G51</f>
        <v>0</v>
      </c>
      <c r="L44" s="124">
        <f>'Pemakaian Dalam Negeri'!H51</f>
        <v>53.423189999999998</v>
      </c>
      <c r="M44" s="124">
        <f>'Pemakaian Dalam Negeri'!I51</f>
        <v>0</v>
      </c>
      <c r="N44" s="124">
        <f>'Pemakaian Dalam Negeri'!J51</f>
        <v>4759.4768099999992</v>
      </c>
      <c r="O44" s="124" t="e">
        <f t="shared" si="1"/>
        <v>#REF!</v>
      </c>
      <c r="P44" s="124" t="e">
        <f t="shared" si="2"/>
        <v>#REF!</v>
      </c>
      <c r="Q44" s="126" t="e">
        <f t="shared" si="3"/>
        <v>#REF!</v>
      </c>
      <c r="R44" s="126" t="e">
        <f t="shared" si="7"/>
        <v>#REF!</v>
      </c>
      <c r="S44" s="126" t="e">
        <f t="shared" si="4"/>
        <v>#REF!</v>
      </c>
      <c r="T44" s="126" t="e">
        <f t="shared" si="5"/>
        <v>#REF!</v>
      </c>
      <c r="U44" s="127" t="e">
        <f t="shared" si="6"/>
        <v>#REF!</v>
      </c>
      <c r="V44" s="135"/>
      <c r="W44" s="136">
        <v>100</v>
      </c>
      <c r="X44" s="136">
        <v>0</v>
      </c>
      <c r="Y44" s="136">
        <v>0</v>
      </c>
      <c r="Z44" s="136">
        <v>0</v>
      </c>
      <c r="AA44" s="136">
        <v>0</v>
      </c>
      <c r="AB44" s="148">
        <v>1.1100000000000001</v>
      </c>
      <c r="AC44" s="141">
        <f t="shared" si="9"/>
        <v>98.89</v>
      </c>
      <c r="AD44" s="119">
        <v>90</v>
      </c>
      <c r="AE44" s="131">
        <v>46</v>
      </c>
      <c r="AF44" s="131">
        <v>0.6</v>
      </c>
      <c r="AG44" s="131">
        <v>0.2</v>
      </c>
      <c r="AH44" s="120"/>
      <c r="AI44" s="120"/>
      <c r="AJ44" s="120"/>
      <c r="AK44" s="120"/>
      <c r="AL44" s="120"/>
      <c r="AM44" s="120"/>
      <c r="AN44" s="120"/>
      <c r="AO44" s="120"/>
    </row>
    <row r="45" spans="1:41" ht="14.1" customHeight="1" x14ac:dyDescent="0.2">
      <c r="A45" s="24"/>
      <c r="B45" s="10" t="s">
        <v>75</v>
      </c>
      <c r="C45" s="122">
        <f>Produksi!D48</f>
        <v>198.3</v>
      </c>
      <c r="D45" s="122">
        <f>Produksi!F48</f>
        <v>198.3</v>
      </c>
      <c r="E45" s="123" t="e">
        <f>#REF!</f>
        <v>#REF!</v>
      </c>
      <c r="F45" s="124" t="e">
        <f>#REF!+#REF!</f>
        <v>#REF!</v>
      </c>
      <c r="G45" s="124"/>
      <c r="H45" s="124" t="e">
        <f t="shared" si="8"/>
        <v>#REF!</v>
      </c>
      <c r="I45" s="124">
        <f>'Pemakaian Dalam Negeri'!E52</f>
        <v>0</v>
      </c>
      <c r="J45" s="125">
        <f>'Pemakaian Dalam Negeri'!F52</f>
        <v>0</v>
      </c>
      <c r="K45" s="124">
        <f>'Pemakaian Dalam Negeri'!G52</f>
        <v>0</v>
      </c>
      <c r="L45" s="124">
        <f>'Pemakaian Dalam Negeri'!H52</f>
        <v>0.11322</v>
      </c>
      <c r="M45" s="124">
        <f>'Pemakaian Dalam Negeri'!I52</f>
        <v>0</v>
      </c>
      <c r="N45" s="124">
        <f>'Pemakaian Dalam Negeri'!J52</f>
        <v>10.086779999999999</v>
      </c>
      <c r="O45" s="124" t="e">
        <f t="shared" si="1"/>
        <v>#REF!</v>
      </c>
      <c r="P45" s="124" t="e">
        <f t="shared" si="2"/>
        <v>#REF!</v>
      </c>
      <c r="Q45" s="126" t="e">
        <f t="shared" si="3"/>
        <v>#REF!</v>
      </c>
      <c r="R45" s="126" t="e">
        <f t="shared" si="7"/>
        <v>#REF!</v>
      </c>
      <c r="S45" s="126" t="e">
        <f t="shared" si="4"/>
        <v>#REF!</v>
      </c>
      <c r="T45" s="126" t="e">
        <f t="shared" si="5"/>
        <v>#REF!</v>
      </c>
      <c r="U45" s="127" t="e">
        <f t="shared" si="6"/>
        <v>#REF!</v>
      </c>
      <c r="V45" s="135"/>
      <c r="W45" s="136">
        <v>100</v>
      </c>
      <c r="X45" s="136">
        <v>0</v>
      </c>
      <c r="Y45" s="136">
        <v>0</v>
      </c>
      <c r="Z45" s="136">
        <v>0</v>
      </c>
      <c r="AA45" s="136">
        <v>0</v>
      </c>
      <c r="AB45" s="148">
        <v>1.1100000000000001</v>
      </c>
      <c r="AC45" s="141">
        <f t="shared" si="9"/>
        <v>98.89</v>
      </c>
      <c r="AD45" s="119">
        <v>65</v>
      </c>
      <c r="AE45" s="131">
        <v>36.53</v>
      </c>
      <c r="AF45" s="131">
        <v>0.36</v>
      </c>
      <c r="AG45" s="131">
        <v>0.13</v>
      </c>
      <c r="AH45" s="120">
        <v>1200</v>
      </c>
      <c r="AI45" s="120">
        <v>0.08</v>
      </c>
      <c r="AJ45" s="120">
        <v>6</v>
      </c>
      <c r="AK45" s="120">
        <v>15</v>
      </c>
      <c r="AL45" s="120">
        <v>9</v>
      </c>
      <c r="AM45" s="120">
        <v>0.2</v>
      </c>
      <c r="AN45" s="120"/>
      <c r="AO45" s="120"/>
    </row>
    <row r="46" spans="1:41" ht="14.1" customHeight="1" x14ac:dyDescent="0.2">
      <c r="A46" s="24"/>
      <c r="B46" s="10" t="s">
        <v>76</v>
      </c>
      <c r="C46" s="122">
        <f>Produksi!D49</f>
        <v>75.099999999999994</v>
      </c>
      <c r="D46" s="122">
        <f>Produksi!F49</f>
        <v>75.099999999999994</v>
      </c>
      <c r="E46" s="123" t="e">
        <f>#REF!</f>
        <v>#REF!</v>
      </c>
      <c r="F46" s="124" t="e">
        <f>#REF!+#REF!</f>
        <v>#REF!</v>
      </c>
      <c r="G46" s="124"/>
      <c r="H46" s="124" t="e">
        <f>D46-E46+F46-G46</f>
        <v>#REF!</v>
      </c>
      <c r="I46" s="124">
        <f>'Pemakaian Dalam Negeri'!E53</f>
        <v>0</v>
      </c>
      <c r="J46" s="125">
        <f>'Pemakaian Dalam Negeri'!F53</f>
        <v>0</v>
      </c>
      <c r="K46" s="124">
        <f>'Pemakaian Dalam Negeri'!G53</f>
        <v>0</v>
      </c>
      <c r="L46" s="124">
        <f>'Pemakaian Dalam Negeri'!H53</f>
        <v>8.8800000000000004E-2</v>
      </c>
      <c r="M46" s="124">
        <f>'Pemakaian Dalam Negeri'!I53</f>
        <v>0</v>
      </c>
      <c r="N46" s="124">
        <f>'Pemakaian Dalam Negeri'!J53</f>
        <v>7.9112</v>
      </c>
      <c r="O46" s="124" t="e">
        <f t="shared" si="1"/>
        <v>#REF!</v>
      </c>
      <c r="P46" s="124" t="e">
        <f>I46+J46+K46+L46+M46+N46+O46</f>
        <v>#REF!</v>
      </c>
      <c r="Q46" s="126" t="e">
        <f t="shared" si="3"/>
        <v>#REF!</v>
      </c>
      <c r="R46" s="126" t="e">
        <f t="shared" si="7"/>
        <v>#REF!</v>
      </c>
      <c r="S46" s="126" t="e">
        <f t="shared" si="4"/>
        <v>#REF!</v>
      </c>
      <c r="T46" s="126" t="e">
        <f t="shared" si="5"/>
        <v>#REF!</v>
      </c>
      <c r="U46" s="127" t="e">
        <f t="shared" si="6"/>
        <v>#REF!</v>
      </c>
      <c r="V46" s="135"/>
      <c r="W46" s="136">
        <v>100</v>
      </c>
      <c r="X46" s="136">
        <v>0</v>
      </c>
      <c r="Y46" s="136">
        <v>0</v>
      </c>
      <c r="Z46" s="136">
        <v>0</v>
      </c>
      <c r="AA46" s="136">
        <v>0</v>
      </c>
      <c r="AB46" s="148">
        <v>1.1100000000000001</v>
      </c>
      <c r="AC46" s="141">
        <f t="shared" si="9"/>
        <v>98.89</v>
      </c>
      <c r="AD46" s="119">
        <v>53</v>
      </c>
      <c r="AE46" s="131">
        <v>20.399999999999999</v>
      </c>
      <c r="AF46" s="131">
        <v>0.31</v>
      </c>
      <c r="AG46" s="131">
        <v>0.15</v>
      </c>
      <c r="AH46" s="120">
        <v>130</v>
      </c>
      <c r="AI46" s="120">
        <v>0.08</v>
      </c>
      <c r="AJ46" s="120">
        <v>24</v>
      </c>
      <c r="AK46" s="120">
        <v>16</v>
      </c>
      <c r="AL46" s="120">
        <v>11</v>
      </c>
      <c r="AM46" s="120">
        <v>0.3</v>
      </c>
      <c r="AN46" s="120"/>
      <c r="AO46" s="120"/>
    </row>
    <row r="47" spans="1:41" ht="14.1" customHeight="1" x14ac:dyDescent="0.2">
      <c r="A47" s="24"/>
      <c r="B47" s="10" t="s">
        <v>77</v>
      </c>
      <c r="C47" s="122">
        <f>Produksi!D50</f>
        <v>557.79999999999995</v>
      </c>
      <c r="D47" s="122">
        <f>Produksi!F50</f>
        <v>557.79999999999995</v>
      </c>
      <c r="E47" s="123" t="e">
        <f>#REF!</f>
        <v>#REF!</v>
      </c>
      <c r="F47" s="124" t="e">
        <f>#REF!+#REF!</f>
        <v>#REF!</v>
      </c>
      <c r="G47" s="124"/>
      <c r="H47" s="124" t="e">
        <f t="shared" si="8"/>
        <v>#REF!</v>
      </c>
      <c r="I47" s="124">
        <f>'Pemakaian Dalam Negeri'!E54</f>
        <v>0</v>
      </c>
      <c r="J47" s="125">
        <f>'Pemakaian Dalam Negeri'!F54</f>
        <v>0</v>
      </c>
      <c r="K47" s="124">
        <f>'Pemakaian Dalam Negeri'!G54</f>
        <v>0</v>
      </c>
      <c r="L47" s="124">
        <f>'Pemakaian Dalam Negeri'!H54</f>
        <v>3.156507026394058</v>
      </c>
      <c r="M47" s="124">
        <f>'Pemakaian Dalam Negeri'!I54</f>
        <v>0</v>
      </c>
      <c r="N47" s="124">
        <f>'Pemakaian Dalam Negeri'!J54</f>
        <v>281.21349535144896</v>
      </c>
      <c r="O47" s="124" t="e">
        <f t="shared" si="1"/>
        <v>#REF!</v>
      </c>
      <c r="P47" s="124" t="e">
        <f t="shared" si="2"/>
        <v>#REF!</v>
      </c>
      <c r="Q47" s="126" t="e">
        <f t="shared" si="3"/>
        <v>#REF!</v>
      </c>
      <c r="R47" s="126" t="e">
        <f t="shared" si="7"/>
        <v>#REF!</v>
      </c>
      <c r="S47" s="126" t="e">
        <f t="shared" si="4"/>
        <v>#REF!</v>
      </c>
      <c r="T47" s="126" t="e">
        <f t="shared" si="5"/>
        <v>#REF!</v>
      </c>
      <c r="U47" s="127" t="e">
        <f t="shared" si="6"/>
        <v>#REF!</v>
      </c>
      <c r="V47" s="135"/>
      <c r="W47" s="136">
        <v>100</v>
      </c>
      <c r="X47" s="136">
        <v>0</v>
      </c>
      <c r="Y47" s="136">
        <v>0</v>
      </c>
      <c r="Z47" s="136">
        <v>0</v>
      </c>
      <c r="AA47" s="136">
        <v>0</v>
      </c>
      <c r="AB47" s="148">
        <v>1.1100000000000001</v>
      </c>
      <c r="AC47" s="141">
        <f t="shared" si="9"/>
        <v>98.89</v>
      </c>
      <c r="AD47" s="119">
        <v>75</v>
      </c>
      <c r="AE47" s="131">
        <v>34.5</v>
      </c>
      <c r="AF47" s="131">
        <v>0.38</v>
      </c>
      <c r="AG47" s="131">
        <v>0</v>
      </c>
      <c r="AH47" s="120">
        <v>365</v>
      </c>
      <c r="AI47" s="120">
        <v>0.04</v>
      </c>
      <c r="AJ47" s="120">
        <v>78</v>
      </c>
      <c r="AK47" s="120">
        <v>23</v>
      </c>
      <c r="AL47" s="120">
        <v>12</v>
      </c>
      <c r="AM47" s="120">
        <v>1.7</v>
      </c>
      <c r="AN47" s="120"/>
      <c r="AO47" s="120"/>
    </row>
    <row r="48" spans="1:41" ht="14.1" customHeight="1" x14ac:dyDescent="0.2">
      <c r="A48" s="24"/>
      <c r="B48" s="10" t="s">
        <v>78</v>
      </c>
      <c r="C48" s="122">
        <f>Produksi!D51</f>
        <v>488</v>
      </c>
      <c r="D48" s="122">
        <f>Produksi!F51</f>
        <v>488</v>
      </c>
      <c r="E48" s="123" t="e">
        <f>#REF!</f>
        <v>#REF!</v>
      </c>
      <c r="F48" s="124" t="e">
        <f>#REF!+#REF!</f>
        <v>#REF!</v>
      </c>
      <c r="G48" s="124"/>
      <c r="H48" s="124" t="e">
        <f t="shared" si="8"/>
        <v>#REF!</v>
      </c>
      <c r="I48" s="124">
        <f>'Pemakaian Dalam Negeri'!E55</f>
        <v>0</v>
      </c>
      <c r="J48" s="125">
        <f>'Pemakaian Dalam Negeri'!F55</f>
        <v>0</v>
      </c>
      <c r="K48" s="124">
        <f>'Pemakaian Dalam Negeri'!G55</f>
        <v>0</v>
      </c>
      <c r="L48" s="124">
        <f>'Pemakaian Dalam Negeri'!H55</f>
        <v>0.83360999999999996</v>
      </c>
      <c r="M48" s="124">
        <f>'Pemakaian Dalam Negeri'!I55</f>
        <v>0</v>
      </c>
      <c r="N48" s="124">
        <f>'Pemakaian Dalam Negeri'!J55</f>
        <v>74.266390000000001</v>
      </c>
      <c r="O48" s="124" t="e">
        <f t="shared" si="1"/>
        <v>#REF!</v>
      </c>
      <c r="P48" s="124" t="e">
        <f t="shared" si="2"/>
        <v>#REF!</v>
      </c>
      <c r="Q48" s="126" t="e">
        <f t="shared" si="3"/>
        <v>#REF!</v>
      </c>
      <c r="R48" s="126" t="e">
        <f t="shared" si="7"/>
        <v>#REF!</v>
      </c>
      <c r="S48" s="126" t="e">
        <f t="shared" si="4"/>
        <v>#REF!</v>
      </c>
      <c r="T48" s="126" t="e">
        <f t="shared" si="5"/>
        <v>#REF!</v>
      </c>
      <c r="U48" s="127" t="e">
        <f t="shared" si="6"/>
        <v>#REF!</v>
      </c>
      <c r="V48" s="135"/>
      <c r="W48" s="136">
        <v>100</v>
      </c>
      <c r="X48" s="136">
        <v>0</v>
      </c>
      <c r="Y48" s="136">
        <v>0</v>
      </c>
      <c r="Z48" s="136">
        <v>0</v>
      </c>
      <c r="AA48" s="136">
        <v>0</v>
      </c>
      <c r="AB48" s="148">
        <v>1.1100000000000001</v>
      </c>
      <c r="AC48" s="141">
        <f t="shared" si="9"/>
        <v>98.89</v>
      </c>
      <c r="AD48" s="119">
        <v>75</v>
      </c>
      <c r="AE48" s="131">
        <v>64.400000000000006</v>
      </c>
      <c r="AF48" s="131">
        <v>0.7</v>
      </c>
      <c r="AG48" s="131">
        <v>0.21</v>
      </c>
      <c r="AH48" s="120">
        <v>146</v>
      </c>
      <c r="AI48" s="120">
        <v>0.08</v>
      </c>
      <c r="AJ48" s="120">
        <v>3</v>
      </c>
      <c r="AK48" s="120">
        <v>8</v>
      </c>
      <c r="AL48" s="120">
        <v>28</v>
      </c>
      <c r="AM48" s="120">
        <v>0.5</v>
      </c>
      <c r="AN48" s="120"/>
      <c r="AO48" s="120"/>
    </row>
    <row r="49" spans="1:41" ht="14.1" customHeight="1" x14ac:dyDescent="0.2">
      <c r="A49" s="24"/>
      <c r="B49" s="10" t="s">
        <v>79</v>
      </c>
      <c r="C49" s="122">
        <f>Produksi!D52</f>
        <v>374</v>
      </c>
      <c r="D49" s="122">
        <f>Produksi!F52</f>
        <v>374</v>
      </c>
      <c r="E49" s="123" t="e">
        <f>#REF!</f>
        <v>#REF!</v>
      </c>
      <c r="F49" s="124" t="e">
        <f>#REF!+#REF!</f>
        <v>#REF!</v>
      </c>
      <c r="G49" s="124"/>
      <c r="H49" s="124" t="e">
        <f t="shared" si="8"/>
        <v>#REF!</v>
      </c>
      <c r="I49" s="124">
        <f>'Pemakaian Dalam Negeri'!E56</f>
        <v>0</v>
      </c>
      <c r="J49" s="125">
        <f>'Pemakaian Dalam Negeri'!F56</f>
        <v>0</v>
      </c>
      <c r="K49" s="124">
        <f>'Pemakaian Dalam Negeri'!G56</f>
        <v>0</v>
      </c>
      <c r="L49" s="124">
        <f>'Pemakaian Dalam Negeri'!H56</f>
        <v>19.100735476186607</v>
      </c>
      <c r="M49" s="124">
        <f>'Pemakaian Dalam Negeri'!I56</f>
        <v>0</v>
      </c>
      <c r="N49" s="124">
        <f>'Pemakaian Dalam Negeri'!J56</f>
        <v>1701.6862443604446</v>
      </c>
      <c r="O49" s="124" t="e">
        <f t="shared" si="1"/>
        <v>#REF!</v>
      </c>
      <c r="P49" s="124" t="e">
        <f t="shared" si="2"/>
        <v>#REF!</v>
      </c>
      <c r="Q49" s="126" t="e">
        <f t="shared" si="3"/>
        <v>#REF!</v>
      </c>
      <c r="R49" s="126" t="e">
        <f t="shared" si="7"/>
        <v>#REF!</v>
      </c>
      <c r="S49" s="126" t="e">
        <f t="shared" si="4"/>
        <v>#REF!</v>
      </c>
      <c r="T49" s="126" t="e">
        <f t="shared" si="5"/>
        <v>#REF!</v>
      </c>
      <c r="U49" s="127" t="e">
        <f t="shared" si="6"/>
        <v>#REF!</v>
      </c>
      <c r="V49" s="156"/>
      <c r="W49" s="136">
        <v>100</v>
      </c>
      <c r="X49" s="157"/>
      <c r="Y49" s="157"/>
      <c r="Z49" s="157"/>
      <c r="AA49" s="157"/>
      <c r="AB49" s="148">
        <v>1.1100000000000001</v>
      </c>
      <c r="AC49" s="141">
        <f t="shared" si="9"/>
        <v>98.89</v>
      </c>
      <c r="AD49" s="119">
        <v>40</v>
      </c>
      <c r="AE49" s="131">
        <v>27.6</v>
      </c>
      <c r="AF49" s="131">
        <v>0.36</v>
      </c>
      <c r="AG49" s="131">
        <v>0.04</v>
      </c>
      <c r="AH49" s="120">
        <v>0</v>
      </c>
      <c r="AI49" s="120">
        <v>0</v>
      </c>
      <c r="AJ49" s="120">
        <v>58</v>
      </c>
      <c r="AK49" s="120">
        <v>16</v>
      </c>
      <c r="AL49" s="120">
        <v>16</v>
      </c>
      <c r="AM49" s="120">
        <v>0.5</v>
      </c>
      <c r="AN49" s="120"/>
      <c r="AO49" s="120"/>
    </row>
    <row r="50" spans="1:41" ht="14.1" customHeight="1" x14ac:dyDescent="0.2">
      <c r="A50" s="24"/>
      <c r="B50" s="10" t="s">
        <v>80</v>
      </c>
      <c r="C50" s="122">
        <f>Produksi!D53</f>
        <v>48.6</v>
      </c>
      <c r="D50" s="122">
        <f>Produksi!F53</f>
        <v>48.6</v>
      </c>
      <c r="E50" s="123" t="e">
        <f>#REF!</f>
        <v>#REF!</v>
      </c>
      <c r="F50" s="124" t="e">
        <f>#REF!+#REF!</f>
        <v>#REF!</v>
      </c>
      <c r="G50" s="124"/>
      <c r="H50" s="124" t="e">
        <f t="shared" si="8"/>
        <v>#REF!</v>
      </c>
      <c r="I50" s="124">
        <f>'Pemakaian Dalam Negeri'!E57</f>
        <v>0</v>
      </c>
      <c r="J50" s="125">
        <f>'Pemakaian Dalam Negeri'!F57</f>
        <v>0</v>
      </c>
      <c r="K50" s="124">
        <f>'Pemakaian Dalam Negeri'!G57</f>
        <v>0</v>
      </c>
      <c r="L50" s="124">
        <f>'Pemakaian Dalam Negeri'!H57</f>
        <v>15.454968982195316</v>
      </c>
      <c r="M50" s="124">
        <f>'Pemakaian Dalam Negeri'!I57</f>
        <v>0</v>
      </c>
      <c r="N50" s="124">
        <f>'Pemakaian Dalam Negeri'!J57</f>
        <v>1376.8845789633285</v>
      </c>
      <c r="O50" s="124" t="e">
        <f t="shared" si="1"/>
        <v>#REF!</v>
      </c>
      <c r="P50" s="124" t="e">
        <f t="shared" si="2"/>
        <v>#REF!</v>
      </c>
      <c r="Q50" s="126" t="e">
        <f t="shared" si="3"/>
        <v>#REF!</v>
      </c>
      <c r="R50" s="126" t="e">
        <f t="shared" si="7"/>
        <v>#REF!</v>
      </c>
      <c r="S50" s="126" t="e">
        <f t="shared" si="4"/>
        <v>#REF!</v>
      </c>
      <c r="T50" s="126" t="e">
        <f t="shared" si="5"/>
        <v>#REF!</v>
      </c>
      <c r="U50" s="127" t="e">
        <f t="shared" si="6"/>
        <v>#REF!</v>
      </c>
      <c r="V50" s="156"/>
      <c r="W50" s="157"/>
      <c r="X50" s="157"/>
      <c r="Y50" s="157"/>
      <c r="Z50" s="157"/>
      <c r="AA50" s="157"/>
      <c r="AB50" s="148">
        <v>1.1100000000000001</v>
      </c>
      <c r="AC50" s="160">
        <v>99.17</v>
      </c>
      <c r="AD50" s="119">
        <v>67</v>
      </c>
      <c r="AE50" s="131">
        <v>135.06</v>
      </c>
      <c r="AF50" s="131">
        <v>0.47</v>
      </c>
      <c r="AG50" s="131">
        <v>0.16</v>
      </c>
      <c r="AH50" s="120">
        <v>0</v>
      </c>
      <c r="AI50" s="120">
        <v>0.04</v>
      </c>
      <c r="AJ50" s="120">
        <v>2</v>
      </c>
      <c r="AK50" s="120">
        <v>28</v>
      </c>
      <c r="AL50" s="120">
        <v>18</v>
      </c>
      <c r="AM50" s="120">
        <v>4.2</v>
      </c>
      <c r="AN50" s="120"/>
      <c r="AO50" s="120"/>
    </row>
    <row r="51" spans="1:41" ht="14.1" customHeight="1" x14ac:dyDescent="0.2">
      <c r="A51" s="24"/>
      <c r="B51" s="10" t="s">
        <v>81</v>
      </c>
      <c r="C51" s="122">
        <f>Produksi!D54</f>
        <v>10.6</v>
      </c>
      <c r="D51" s="122">
        <f>Produksi!F54</f>
        <v>10.6</v>
      </c>
      <c r="E51" s="123" t="e">
        <f>#REF!</f>
        <v>#REF!</v>
      </c>
      <c r="F51" s="124" t="e">
        <f>#REF!+#REF!</f>
        <v>#REF!</v>
      </c>
      <c r="G51" s="124"/>
      <c r="H51" s="124" t="e">
        <f t="shared" si="8"/>
        <v>#REF!</v>
      </c>
      <c r="I51" s="124">
        <f>'Pemakaian Dalam Negeri'!E58</f>
        <v>0</v>
      </c>
      <c r="J51" s="125">
        <f>'Pemakaian Dalam Negeri'!F58</f>
        <v>0</v>
      </c>
      <c r="K51" s="124">
        <f>'Pemakaian Dalam Negeri'!G58</f>
        <v>0</v>
      </c>
      <c r="L51" s="124">
        <f>'Pemakaian Dalam Negeri'!H58</f>
        <v>4.1513999999999998</v>
      </c>
      <c r="M51" s="124">
        <f>'Pemakaian Dalam Negeri'!I58</f>
        <v>0</v>
      </c>
      <c r="N51" s="124">
        <f>'Pemakaian Dalam Negeri'!J58</f>
        <v>369.84859999999998</v>
      </c>
      <c r="O51" s="124" t="e">
        <f t="shared" si="1"/>
        <v>#REF!</v>
      </c>
      <c r="P51" s="124" t="e">
        <f t="shared" si="2"/>
        <v>#REF!</v>
      </c>
      <c r="Q51" s="126" t="e">
        <f t="shared" si="3"/>
        <v>#REF!</v>
      </c>
      <c r="R51" s="126" t="e">
        <f t="shared" si="7"/>
        <v>#REF!</v>
      </c>
      <c r="S51" s="126" t="e">
        <f t="shared" si="4"/>
        <v>#REF!</v>
      </c>
      <c r="T51" s="126" t="e">
        <f t="shared" si="5"/>
        <v>#REF!</v>
      </c>
      <c r="U51" s="127" t="e">
        <f t="shared" si="6"/>
        <v>#REF!</v>
      </c>
      <c r="V51" s="156"/>
      <c r="W51" s="157"/>
      <c r="X51" s="157"/>
      <c r="Y51" s="157"/>
      <c r="Z51" s="157"/>
      <c r="AA51" s="157"/>
      <c r="AB51" s="148">
        <v>1.1100000000000001</v>
      </c>
      <c r="AC51" s="160">
        <v>99.17</v>
      </c>
      <c r="AD51" s="119">
        <v>79</v>
      </c>
      <c r="AE51" s="131">
        <v>66.55</v>
      </c>
      <c r="AF51" s="131">
        <v>0.69</v>
      </c>
      <c r="AG51" s="131">
        <v>1.95</v>
      </c>
      <c r="AH51" s="120">
        <v>60</v>
      </c>
      <c r="AI51" s="120">
        <v>0.01</v>
      </c>
      <c r="AJ51" s="120">
        <v>21</v>
      </c>
      <c r="AK51" s="120">
        <v>25</v>
      </c>
      <c r="AL51" s="120">
        <v>12</v>
      </c>
      <c r="AM51" s="120">
        <v>1</v>
      </c>
      <c r="AN51" s="120"/>
      <c r="AO51" s="120"/>
    </row>
    <row r="52" spans="1:41" ht="14.1" customHeight="1" x14ac:dyDescent="0.2">
      <c r="A52" s="24"/>
      <c r="B52" s="10" t="s">
        <v>4</v>
      </c>
      <c r="C52" s="122">
        <f>Produksi!D55</f>
        <v>88.4</v>
      </c>
      <c r="D52" s="122">
        <f>Produksi!F55</f>
        <v>88.4</v>
      </c>
      <c r="E52" s="123" t="e">
        <f>#REF!</f>
        <v>#REF!</v>
      </c>
      <c r="F52" s="124" t="e">
        <f>#REF!+#REF!</f>
        <v>#REF!</v>
      </c>
      <c r="G52" s="124"/>
      <c r="H52" s="124" t="e">
        <f t="shared" si="8"/>
        <v>#REF!</v>
      </c>
      <c r="I52" s="124">
        <f>'Pemakaian Dalam Negeri'!E59</f>
        <v>0</v>
      </c>
      <c r="J52" s="125">
        <f>'Pemakaian Dalam Negeri'!F59</f>
        <v>0</v>
      </c>
      <c r="K52" s="124">
        <f>'Pemakaian Dalam Negeri'!G59</f>
        <v>0</v>
      </c>
      <c r="L52" s="124">
        <f>'Pemakaian Dalam Negeri'!H59</f>
        <v>10.345902669951283</v>
      </c>
      <c r="M52" s="124">
        <f>'Pemakaian Dalam Negeri'!I59</f>
        <v>0</v>
      </c>
      <c r="N52" s="124">
        <f>'Pemakaian Dalam Negeri'!J59</f>
        <v>921.71740092926325</v>
      </c>
      <c r="O52" s="124" t="e">
        <f t="shared" si="1"/>
        <v>#REF!</v>
      </c>
      <c r="P52" s="124" t="e">
        <f t="shared" si="2"/>
        <v>#REF!</v>
      </c>
      <c r="Q52" s="126" t="e">
        <f t="shared" si="3"/>
        <v>#REF!</v>
      </c>
      <c r="R52" s="126" t="e">
        <f t="shared" si="7"/>
        <v>#REF!</v>
      </c>
      <c r="S52" s="126" t="e">
        <f t="shared" si="4"/>
        <v>#REF!</v>
      </c>
      <c r="T52" s="126" t="e">
        <f t="shared" si="5"/>
        <v>#REF!</v>
      </c>
      <c r="U52" s="127" t="e">
        <f t="shared" si="6"/>
        <v>#REF!</v>
      </c>
      <c r="V52" s="156"/>
      <c r="W52" s="157"/>
      <c r="X52" s="157"/>
      <c r="Y52" s="157"/>
      <c r="Z52" s="157"/>
      <c r="AA52" s="157"/>
      <c r="AB52" s="148">
        <v>1.1100000000000001</v>
      </c>
      <c r="AC52" s="160">
        <v>99.17</v>
      </c>
      <c r="AD52" s="158">
        <v>58</v>
      </c>
      <c r="AE52" s="159">
        <v>37</v>
      </c>
      <c r="AF52" s="159">
        <v>0.6</v>
      </c>
      <c r="AG52" s="159">
        <v>0.4</v>
      </c>
      <c r="AH52" s="120"/>
      <c r="AI52" s="120"/>
      <c r="AJ52" s="120"/>
      <c r="AK52" s="120"/>
      <c r="AL52" s="120"/>
      <c r="AM52" s="120"/>
      <c r="AN52" s="120"/>
      <c r="AO52" s="120"/>
    </row>
    <row r="53" spans="1:41" ht="14.1" customHeight="1" x14ac:dyDescent="0.2">
      <c r="A53" s="24"/>
      <c r="B53" s="10" t="s">
        <v>82</v>
      </c>
      <c r="C53" s="122">
        <f>Produksi!D56</f>
        <v>1166.8</v>
      </c>
      <c r="D53" s="122">
        <f>Produksi!F56</f>
        <v>1166.8</v>
      </c>
      <c r="E53" s="123" t="e">
        <f>#REF!</f>
        <v>#REF!</v>
      </c>
      <c r="F53" s="124" t="e">
        <f>#REF!+#REF!</f>
        <v>#REF!</v>
      </c>
      <c r="G53" s="124"/>
      <c r="H53" s="124" t="e">
        <f t="shared" si="8"/>
        <v>#REF!</v>
      </c>
      <c r="I53" s="124">
        <f>'Pemakaian Dalam Negeri'!E60</f>
        <v>0</v>
      </c>
      <c r="J53" s="125">
        <f>'Pemakaian Dalam Negeri'!F60</f>
        <v>0</v>
      </c>
      <c r="K53" s="124">
        <f>'Pemakaian Dalam Negeri'!G60</f>
        <v>0</v>
      </c>
      <c r="L53" s="124">
        <f>'Pemakaian Dalam Negeri'!H60</f>
        <v>0.11766</v>
      </c>
      <c r="M53" s="124">
        <f>'Pemakaian Dalam Negeri'!I60</f>
        <v>0</v>
      </c>
      <c r="N53" s="124">
        <f>'Pemakaian Dalam Negeri'!J60</f>
        <v>10.482339999999999</v>
      </c>
      <c r="O53" s="124" t="e">
        <f t="shared" si="1"/>
        <v>#REF!</v>
      </c>
      <c r="P53" s="124" t="e">
        <f t="shared" si="2"/>
        <v>#REF!</v>
      </c>
      <c r="Q53" s="126" t="e">
        <f t="shared" si="3"/>
        <v>#REF!</v>
      </c>
      <c r="R53" s="126" t="e">
        <f t="shared" si="7"/>
        <v>#REF!</v>
      </c>
      <c r="S53" s="126" t="e">
        <f t="shared" si="4"/>
        <v>#REF!</v>
      </c>
      <c r="T53" s="126" t="e">
        <f t="shared" si="5"/>
        <v>#REF!</v>
      </c>
      <c r="U53" s="127" t="e">
        <f t="shared" si="6"/>
        <v>#REF!</v>
      </c>
      <c r="V53" s="156"/>
      <c r="W53" s="157"/>
      <c r="X53" s="157"/>
      <c r="Y53" s="157"/>
      <c r="Z53" s="157"/>
      <c r="AA53" s="157"/>
      <c r="AB53" s="148">
        <v>1.1100000000000001</v>
      </c>
      <c r="AC53" s="160">
        <v>99.17</v>
      </c>
      <c r="AD53" s="158">
        <v>46</v>
      </c>
      <c r="AE53" s="159">
        <v>12.88</v>
      </c>
      <c r="AF53" s="159">
        <v>0.23</v>
      </c>
      <c r="AG53" s="159">
        <v>0.09</v>
      </c>
      <c r="AH53" s="120"/>
      <c r="AI53" s="120"/>
      <c r="AJ53" s="120"/>
      <c r="AK53" s="120"/>
      <c r="AL53" s="120"/>
      <c r="AM53" s="120"/>
      <c r="AN53" s="120"/>
      <c r="AO53" s="120"/>
    </row>
    <row r="54" spans="1:41" ht="14.1" customHeight="1" x14ac:dyDescent="0.2">
      <c r="A54" s="24"/>
      <c r="B54" s="10" t="s">
        <v>83</v>
      </c>
      <c r="C54" s="122">
        <f>Produksi!D57</f>
        <v>0.8</v>
      </c>
      <c r="D54" s="122">
        <f>Produksi!F57</f>
        <v>0.8</v>
      </c>
      <c r="E54" s="123" t="e">
        <f>#REF!</f>
        <v>#REF!</v>
      </c>
      <c r="F54" s="124" t="e">
        <f>#REF!+#REF!</f>
        <v>#REF!</v>
      </c>
      <c r="G54" s="124"/>
      <c r="H54" s="124" t="e">
        <f t="shared" si="8"/>
        <v>#REF!</v>
      </c>
      <c r="I54" s="124">
        <f>'Pemakaian Dalam Negeri'!E61</f>
        <v>0</v>
      </c>
      <c r="J54" s="125">
        <f>'Pemakaian Dalam Negeri'!F61</f>
        <v>0</v>
      </c>
      <c r="K54" s="124">
        <f>'Pemakaian Dalam Negeri'!G61</f>
        <v>0</v>
      </c>
      <c r="L54" s="124">
        <f>'Pemakaian Dalam Negeri'!H61</f>
        <v>0.98124000000000011</v>
      </c>
      <c r="M54" s="124">
        <f>'Pemakaian Dalam Negeri'!I61</f>
        <v>0</v>
      </c>
      <c r="N54" s="124">
        <f>'Pemakaian Dalam Negeri'!J61</f>
        <v>87.418760000000006</v>
      </c>
      <c r="O54" s="124" t="e">
        <f t="shared" si="1"/>
        <v>#REF!</v>
      </c>
      <c r="P54" s="124" t="e">
        <f t="shared" si="2"/>
        <v>#REF!</v>
      </c>
      <c r="Q54" s="126" t="e">
        <f t="shared" si="3"/>
        <v>#REF!</v>
      </c>
      <c r="R54" s="126" t="e">
        <f t="shared" si="7"/>
        <v>#REF!</v>
      </c>
      <c r="S54" s="126" t="e">
        <f t="shared" si="4"/>
        <v>#REF!</v>
      </c>
      <c r="T54" s="126" t="e">
        <f t="shared" si="5"/>
        <v>#REF!</v>
      </c>
      <c r="U54" s="127" t="e">
        <f t="shared" si="6"/>
        <v>#REF!</v>
      </c>
      <c r="V54" s="156"/>
      <c r="W54" s="157"/>
      <c r="X54" s="157"/>
      <c r="Y54" s="157"/>
      <c r="Z54" s="157"/>
      <c r="AA54" s="157"/>
      <c r="AB54" s="148">
        <v>1.1100000000000001</v>
      </c>
      <c r="AC54" s="160">
        <v>99.17</v>
      </c>
      <c r="AD54" s="158">
        <v>86</v>
      </c>
      <c r="AE54" s="159">
        <v>30.96</v>
      </c>
      <c r="AF54" s="159">
        <v>0.34</v>
      </c>
      <c r="AG54" s="159">
        <v>0.34</v>
      </c>
      <c r="AH54" s="120"/>
      <c r="AI54" s="120"/>
      <c r="AJ54" s="120"/>
      <c r="AK54" s="120"/>
      <c r="AL54" s="120"/>
      <c r="AM54" s="120"/>
      <c r="AN54" s="120"/>
      <c r="AO54" s="120"/>
    </row>
    <row r="55" spans="1:41" ht="14.1" customHeight="1" x14ac:dyDescent="0.2">
      <c r="A55" s="24"/>
      <c r="B55" s="10" t="s">
        <v>84</v>
      </c>
      <c r="C55" s="122">
        <f>Produksi!D58</f>
        <v>398.5</v>
      </c>
      <c r="D55" s="122">
        <f>Produksi!F58</f>
        <v>398.5</v>
      </c>
      <c r="E55" s="123" t="e">
        <f>#REF!</f>
        <v>#REF!</v>
      </c>
      <c r="F55" s="124" t="e">
        <f>#REF!+#REF!</f>
        <v>#REF!</v>
      </c>
      <c r="G55" s="124"/>
      <c r="H55" s="124" t="e">
        <f t="shared" si="8"/>
        <v>#REF!</v>
      </c>
      <c r="I55" s="124">
        <f>'Pemakaian Dalam Negeri'!E62</f>
        <v>0</v>
      </c>
      <c r="J55" s="125">
        <f>'Pemakaian Dalam Negeri'!F62</f>
        <v>0</v>
      </c>
      <c r="K55" s="124">
        <f>'Pemakaian Dalam Negeri'!G62</f>
        <v>0</v>
      </c>
      <c r="L55" s="124">
        <f>'Pemakaian Dalam Negeri'!H62</f>
        <v>19.45362177940839</v>
      </c>
      <c r="M55" s="124">
        <f>'Pemakaian Dalam Negeri'!I62</f>
        <v>0</v>
      </c>
      <c r="N55" s="124">
        <f>'Pemakaian Dalam Negeri'!J62</f>
        <v>1733.124916906032</v>
      </c>
      <c r="O55" s="124" t="e">
        <f t="shared" si="1"/>
        <v>#REF!</v>
      </c>
      <c r="P55" s="124" t="e">
        <f t="shared" si="2"/>
        <v>#REF!</v>
      </c>
      <c r="Q55" s="126" t="e">
        <f t="shared" si="3"/>
        <v>#REF!</v>
      </c>
      <c r="R55" s="126" t="e">
        <f t="shared" si="7"/>
        <v>#REF!</v>
      </c>
      <c r="S55" s="126" t="e">
        <f t="shared" si="4"/>
        <v>#REF!</v>
      </c>
      <c r="T55" s="126" t="e">
        <f t="shared" si="5"/>
        <v>#REF!</v>
      </c>
      <c r="U55" s="127" t="e">
        <f t="shared" si="6"/>
        <v>#REF!</v>
      </c>
      <c r="V55" s="156"/>
      <c r="W55" s="157"/>
      <c r="X55" s="157"/>
      <c r="Y55" s="157"/>
      <c r="Z55" s="157"/>
      <c r="AA55" s="157"/>
      <c r="AB55" s="148">
        <v>1.1100000000000001</v>
      </c>
      <c r="AC55" s="160">
        <v>99.17</v>
      </c>
      <c r="AD55" s="158">
        <v>29</v>
      </c>
      <c r="AE55" s="159">
        <v>63</v>
      </c>
      <c r="AF55" s="159">
        <v>0.6</v>
      </c>
      <c r="AG55" s="159">
        <v>0.6</v>
      </c>
      <c r="AH55" s="120"/>
      <c r="AI55" s="120"/>
      <c r="AJ55" s="120"/>
      <c r="AK55" s="120"/>
      <c r="AL55" s="120"/>
      <c r="AM55" s="120"/>
      <c r="AN55" s="120"/>
      <c r="AO55" s="120"/>
    </row>
    <row r="56" spans="1:41" ht="14.1" customHeight="1" x14ac:dyDescent="0.2">
      <c r="A56" s="24"/>
      <c r="B56" s="10" t="s">
        <v>85</v>
      </c>
      <c r="C56" s="122">
        <f>Produksi!D59</f>
        <v>632.70000000000005</v>
      </c>
      <c r="D56" s="122">
        <f>Produksi!F59</f>
        <v>632.70000000000005</v>
      </c>
      <c r="E56" s="123" t="e">
        <f>#REF!</f>
        <v>#REF!</v>
      </c>
      <c r="F56" s="124" t="e">
        <f>#REF!+#REF!</f>
        <v>#REF!</v>
      </c>
      <c r="G56" s="124"/>
      <c r="H56" s="124" t="e">
        <f t="shared" si="8"/>
        <v>#REF!</v>
      </c>
      <c r="I56" s="124">
        <f>'Pemakaian Dalam Negeri'!E63</f>
        <v>0</v>
      </c>
      <c r="J56" s="125">
        <f>'Pemakaian Dalam Negeri'!F63</f>
        <v>0</v>
      </c>
      <c r="K56" s="124">
        <f>'Pemakaian Dalam Negeri'!G63</f>
        <v>0</v>
      </c>
      <c r="L56" s="124">
        <f>'Pemakaian Dalam Negeri'!H63</f>
        <v>8.8800000000000007E-3</v>
      </c>
      <c r="M56" s="124">
        <f>'Pemakaian Dalam Negeri'!I63</f>
        <v>0</v>
      </c>
      <c r="N56" s="124">
        <f>'Pemakaian Dalam Negeri'!J63</f>
        <v>0.79112000000000005</v>
      </c>
      <c r="O56" s="124" t="e">
        <f t="shared" si="1"/>
        <v>#REF!</v>
      </c>
      <c r="P56" s="124" t="e">
        <f t="shared" si="2"/>
        <v>#REF!</v>
      </c>
      <c r="Q56" s="126" t="e">
        <f t="shared" si="3"/>
        <v>#REF!</v>
      </c>
      <c r="R56" s="126" t="e">
        <f t="shared" si="7"/>
        <v>#REF!</v>
      </c>
      <c r="S56" s="126" t="e">
        <f t="shared" si="4"/>
        <v>#REF!</v>
      </c>
      <c r="T56" s="126" t="e">
        <f t="shared" si="5"/>
        <v>#REF!</v>
      </c>
      <c r="U56" s="127" t="e">
        <f t="shared" si="6"/>
        <v>#REF!</v>
      </c>
      <c r="V56" s="156"/>
      <c r="W56" s="157"/>
      <c r="X56" s="157"/>
      <c r="Y56" s="157"/>
      <c r="Z56" s="157"/>
      <c r="AA56" s="157"/>
      <c r="AB56" s="148">
        <v>1.1100000000000001</v>
      </c>
      <c r="AC56" s="160">
        <v>99.17</v>
      </c>
      <c r="AD56" s="158">
        <v>28</v>
      </c>
      <c r="AE56" s="159">
        <v>29.68</v>
      </c>
      <c r="AF56" s="159">
        <v>0.34</v>
      </c>
      <c r="AG56" s="159">
        <v>0.08</v>
      </c>
      <c r="AH56" s="120"/>
      <c r="AI56" s="120"/>
      <c r="AJ56" s="120"/>
      <c r="AK56" s="120"/>
      <c r="AL56" s="120"/>
      <c r="AM56" s="120"/>
      <c r="AN56" s="120"/>
      <c r="AO56" s="120"/>
    </row>
    <row r="57" spans="1:41" ht="14.1" customHeight="1" x14ac:dyDescent="0.2">
      <c r="A57" s="24"/>
      <c r="B57" s="10" t="s">
        <v>86</v>
      </c>
      <c r="C57" s="122">
        <f>Produksi!D60</f>
        <v>0</v>
      </c>
      <c r="D57" s="122">
        <f>Produksi!F60</f>
        <v>0</v>
      </c>
      <c r="E57" s="123" t="e">
        <f>#REF!</f>
        <v>#REF!</v>
      </c>
      <c r="F57" s="124" t="e">
        <f>#REF!+#REF!</f>
        <v>#REF!</v>
      </c>
      <c r="G57" s="124"/>
      <c r="H57" s="124" t="e">
        <f t="shared" si="8"/>
        <v>#REF!</v>
      </c>
      <c r="I57" s="124">
        <f>'Pemakaian Dalam Negeri'!E64</f>
        <v>0</v>
      </c>
      <c r="J57" s="125">
        <f>'Pemakaian Dalam Negeri'!F64</f>
        <v>0</v>
      </c>
      <c r="K57" s="124">
        <f>'Pemakaian Dalam Negeri'!G64</f>
        <v>0</v>
      </c>
      <c r="L57" s="124">
        <f>'Pemakaian Dalam Negeri'!H64</f>
        <v>4.4233500000000001</v>
      </c>
      <c r="M57" s="124">
        <f>'Pemakaian Dalam Negeri'!I64</f>
        <v>0</v>
      </c>
      <c r="N57" s="124">
        <f>'Pemakaian Dalam Negeri'!J64</f>
        <v>394.07664999999997</v>
      </c>
      <c r="O57" s="124" t="e">
        <f t="shared" si="1"/>
        <v>#REF!</v>
      </c>
      <c r="P57" s="124" t="e">
        <f t="shared" si="2"/>
        <v>#REF!</v>
      </c>
      <c r="Q57" s="126" t="e">
        <f t="shared" si="3"/>
        <v>#REF!</v>
      </c>
      <c r="R57" s="126" t="e">
        <f t="shared" si="7"/>
        <v>#REF!</v>
      </c>
      <c r="S57" s="126" t="e">
        <f t="shared" si="4"/>
        <v>#REF!</v>
      </c>
      <c r="T57" s="126" t="e">
        <f t="shared" si="5"/>
        <v>#REF!</v>
      </c>
      <c r="U57" s="127" t="e">
        <f t="shared" si="6"/>
        <v>#REF!</v>
      </c>
      <c r="V57" s="156"/>
      <c r="W57" s="157"/>
      <c r="X57" s="157"/>
      <c r="Y57" s="157"/>
      <c r="Z57" s="157"/>
      <c r="AA57" s="41">
        <v>0</v>
      </c>
      <c r="AB57" s="148">
        <v>1.1100000000000001</v>
      </c>
      <c r="AC57" s="160">
        <v>99.17</v>
      </c>
      <c r="AD57" s="158">
        <v>48</v>
      </c>
      <c r="AE57" s="159">
        <v>144</v>
      </c>
      <c r="AF57" s="159">
        <v>3.5</v>
      </c>
      <c r="AG57" s="159">
        <v>1.2</v>
      </c>
      <c r="AH57" s="120"/>
      <c r="AI57" s="120"/>
      <c r="AJ57" s="120"/>
      <c r="AK57" s="120"/>
      <c r="AL57" s="120"/>
      <c r="AM57" s="120"/>
      <c r="AN57" s="120"/>
      <c r="AO57" s="120"/>
    </row>
    <row r="58" spans="1:41" ht="14.1" customHeight="1" x14ac:dyDescent="0.2">
      <c r="A58" s="24"/>
      <c r="B58" s="10" t="s">
        <v>87</v>
      </c>
      <c r="C58" s="122">
        <f>Produksi!D61</f>
        <v>6.9</v>
      </c>
      <c r="D58" s="122">
        <f>Produksi!F61</f>
        <v>6.9</v>
      </c>
      <c r="E58" s="123" t="e">
        <f>#REF!</f>
        <v>#REF!</v>
      </c>
      <c r="F58" s="124" t="e">
        <f>#REF!+#REF!</f>
        <v>#REF!</v>
      </c>
      <c r="G58" s="124"/>
      <c r="H58" s="124" t="e">
        <f t="shared" si="8"/>
        <v>#REF!</v>
      </c>
      <c r="I58" s="124">
        <f>'Pemakaian Dalam Negeri'!E65</f>
        <v>0</v>
      </c>
      <c r="J58" s="125">
        <f>'Pemakaian Dalam Negeri'!F65</f>
        <v>0</v>
      </c>
      <c r="K58" s="124">
        <f>'Pemakaian Dalam Negeri'!G65</f>
        <v>0</v>
      </c>
      <c r="L58" s="124">
        <f>'Pemakaian Dalam Negeri'!H65</f>
        <v>7.0229700000000008</v>
      </c>
      <c r="M58" s="124">
        <f>'Pemakaian Dalam Negeri'!I65</f>
        <v>0</v>
      </c>
      <c r="N58" s="124">
        <f>'Pemakaian Dalam Negeri'!J65</f>
        <v>625.67703000000006</v>
      </c>
      <c r="O58" s="124" t="e">
        <f t="shared" si="1"/>
        <v>#REF!</v>
      </c>
      <c r="P58" s="124" t="e">
        <f t="shared" si="2"/>
        <v>#REF!</v>
      </c>
      <c r="Q58" s="126" t="e">
        <f t="shared" si="3"/>
        <v>#REF!</v>
      </c>
      <c r="R58" s="126" t="e">
        <f t="shared" si="7"/>
        <v>#REF!</v>
      </c>
      <c r="S58" s="126" t="e">
        <f t="shared" si="4"/>
        <v>#REF!</v>
      </c>
      <c r="T58" s="126" t="e">
        <f t="shared" si="5"/>
        <v>#REF!</v>
      </c>
      <c r="U58" s="127" t="e">
        <f t="shared" si="6"/>
        <v>#REF!</v>
      </c>
      <c r="V58" s="156"/>
      <c r="W58" s="157"/>
      <c r="X58" s="157"/>
      <c r="Y58" s="157"/>
      <c r="Z58" s="157"/>
      <c r="AA58" s="137"/>
      <c r="AB58" s="148">
        <v>1.1100000000000001</v>
      </c>
      <c r="AC58" s="160">
        <v>99.17</v>
      </c>
      <c r="AD58" s="158">
        <v>68</v>
      </c>
      <c r="AE58" s="159">
        <v>65</v>
      </c>
      <c r="AF58" s="159">
        <v>1</v>
      </c>
      <c r="AG58" s="159">
        <v>0.3</v>
      </c>
      <c r="AH58" s="120"/>
      <c r="AI58" s="120"/>
      <c r="AJ58" s="120"/>
      <c r="AK58" s="120"/>
      <c r="AL58" s="120"/>
      <c r="AM58" s="120"/>
      <c r="AN58" s="120"/>
      <c r="AO58" s="120"/>
    </row>
    <row r="59" spans="1:41" ht="14.1" customHeight="1" x14ac:dyDescent="0.2">
      <c r="A59" s="24"/>
      <c r="B59" s="10" t="s">
        <v>88</v>
      </c>
      <c r="C59" s="122">
        <f>Produksi!D62</f>
        <v>38.6</v>
      </c>
      <c r="D59" s="122">
        <f>Produksi!F62</f>
        <v>38.6</v>
      </c>
      <c r="E59" s="123" t="e">
        <f>#REF!</f>
        <v>#REF!</v>
      </c>
      <c r="F59" s="124" t="e">
        <f>#REF!+#REF!</f>
        <v>#REF!</v>
      </c>
      <c r="G59" s="124"/>
      <c r="H59" s="124" t="e">
        <f t="shared" si="8"/>
        <v>#REF!</v>
      </c>
      <c r="I59" s="124">
        <f>'Pemakaian Dalam Negeri'!E66</f>
        <v>0</v>
      </c>
      <c r="J59" s="125">
        <f>'Pemakaian Dalam Negeri'!F66</f>
        <v>0</v>
      </c>
      <c r="K59" s="124">
        <f>'Pemakaian Dalam Negeri'!G66</f>
        <v>0</v>
      </c>
      <c r="L59" s="124">
        <f>'Pemakaian Dalam Negeri'!H66</f>
        <v>0</v>
      </c>
      <c r="M59" s="124">
        <f>'Pemakaian Dalam Negeri'!I66</f>
        <v>0</v>
      </c>
      <c r="N59" s="124">
        <f>'Pemakaian Dalam Negeri'!J66</f>
        <v>0</v>
      </c>
      <c r="O59" s="124" t="e">
        <f t="shared" si="1"/>
        <v>#REF!</v>
      </c>
      <c r="P59" s="124" t="e">
        <f t="shared" si="2"/>
        <v>#REF!</v>
      </c>
      <c r="Q59" s="126" t="e">
        <f t="shared" si="3"/>
        <v>#REF!</v>
      </c>
      <c r="R59" s="126" t="e">
        <f t="shared" si="7"/>
        <v>#REF!</v>
      </c>
      <c r="S59" s="126" t="e">
        <f t="shared" si="4"/>
        <v>#REF!</v>
      </c>
      <c r="T59" s="126" t="e">
        <f t="shared" si="5"/>
        <v>#REF!</v>
      </c>
      <c r="U59" s="127" t="e">
        <f t="shared" si="6"/>
        <v>#REF!</v>
      </c>
      <c r="V59" s="135"/>
      <c r="W59" s="136">
        <v>100</v>
      </c>
      <c r="X59" s="136">
        <v>0</v>
      </c>
      <c r="Y59" s="136">
        <v>0</v>
      </c>
      <c r="Z59" s="136">
        <v>0</v>
      </c>
      <c r="AA59" s="42"/>
      <c r="AB59" s="148">
        <v>1.1100000000000001</v>
      </c>
      <c r="AC59" s="141">
        <f>W59-X59-Y59-Z59-AA59-AB59</f>
        <v>98.89</v>
      </c>
      <c r="AD59" s="158">
        <v>88</v>
      </c>
      <c r="AE59" s="159">
        <v>123</v>
      </c>
      <c r="AF59" s="159">
        <v>1.5</v>
      </c>
      <c r="AG59" s="159">
        <v>0.2</v>
      </c>
      <c r="AH59" s="120"/>
      <c r="AI59" s="120"/>
      <c r="AJ59" s="120"/>
      <c r="AK59" s="120"/>
      <c r="AL59" s="120"/>
      <c r="AM59" s="120"/>
      <c r="AN59" s="120"/>
      <c r="AO59" s="120"/>
    </row>
    <row r="60" spans="1:41" ht="14.1" customHeight="1" x14ac:dyDescent="0.2">
      <c r="A60" s="24"/>
      <c r="B60" s="10" t="s">
        <v>89</v>
      </c>
      <c r="C60" s="122">
        <f>Produksi!D63</f>
        <v>0</v>
      </c>
      <c r="D60" s="122">
        <f>Produksi!F63</f>
        <v>0</v>
      </c>
      <c r="E60" s="123" t="e">
        <f>#REF!</f>
        <v>#REF!</v>
      </c>
      <c r="F60" s="124" t="e">
        <f>#REF!+#REF!</f>
        <v>#REF!</v>
      </c>
      <c r="G60" s="124"/>
      <c r="H60" s="124" t="e">
        <f t="shared" si="8"/>
        <v>#REF!</v>
      </c>
      <c r="I60" s="124">
        <f>'Pemakaian Dalam Negeri'!E67</f>
        <v>0</v>
      </c>
      <c r="J60" s="125">
        <f>'Pemakaian Dalam Negeri'!F67</f>
        <v>0</v>
      </c>
      <c r="K60" s="124">
        <f>'Pemakaian Dalam Negeri'!G67</f>
        <v>0</v>
      </c>
      <c r="L60" s="124">
        <f>'Pemakaian Dalam Negeri'!H67</f>
        <v>7.6590000000000005E-2</v>
      </c>
      <c r="M60" s="124">
        <f>'Pemakaian Dalam Negeri'!I67</f>
        <v>0</v>
      </c>
      <c r="N60" s="124">
        <f>'Pemakaian Dalam Negeri'!J67</f>
        <v>6.82341</v>
      </c>
      <c r="O60" s="124" t="e">
        <f t="shared" si="1"/>
        <v>#REF!</v>
      </c>
      <c r="P60" s="124" t="e">
        <f t="shared" si="2"/>
        <v>#REF!</v>
      </c>
      <c r="Q60" s="126" t="e">
        <f t="shared" si="3"/>
        <v>#REF!</v>
      </c>
      <c r="R60" s="126" t="e">
        <f t="shared" si="7"/>
        <v>#REF!</v>
      </c>
      <c r="S60" s="126" t="e">
        <f t="shared" si="4"/>
        <v>#REF!</v>
      </c>
      <c r="T60" s="126" t="e">
        <f t="shared" si="5"/>
        <v>#REF!</v>
      </c>
      <c r="U60" s="127" t="e">
        <f t="shared" si="6"/>
        <v>#REF!</v>
      </c>
      <c r="V60" s="135"/>
      <c r="W60" s="136"/>
      <c r="X60" s="137"/>
      <c r="Y60" s="137"/>
      <c r="Z60" s="137"/>
      <c r="AA60" s="152"/>
      <c r="AB60" s="148">
        <v>1.1100000000000001</v>
      </c>
      <c r="AC60" s="141"/>
      <c r="AD60" s="158">
        <v>88</v>
      </c>
      <c r="AE60" s="159">
        <v>48.45</v>
      </c>
      <c r="AF60" s="159">
        <v>0.43</v>
      </c>
      <c r="AG60" s="159">
        <v>0.34</v>
      </c>
      <c r="AH60" s="120"/>
      <c r="AI60" s="120"/>
      <c r="AJ60" s="120"/>
      <c r="AK60" s="120"/>
      <c r="AL60" s="120"/>
      <c r="AM60" s="120"/>
      <c r="AN60" s="120"/>
      <c r="AO60" s="120"/>
    </row>
    <row r="61" spans="1:41" ht="14.1" customHeight="1" x14ac:dyDescent="0.2">
      <c r="A61" s="24"/>
      <c r="B61" s="10" t="s">
        <v>90</v>
      </c>
      <c r="C61" s="122">
        <f>Produksi!D64</f>
        <v>0</v>
      </c>
      <c r="D61" s="122">
        <f>Produksi!F64</f>
        <v>0</v>
      </c>
      <c r="E61" s="123" t="e">
        <f>#REF!</f>
        <v>#REF!</v>
      </c>
      <c r="F61" s="124" t="e">
        <f>#REF!+#REF!</f>
        <v>#REF!</v>
      </c>
      <c r="G61" s="124"/>
      <c r="H61" s="124" t="e">
        <f t="shared" si="8"/>
        <v>#REF!</v>
      </c>
      <c r="I61" s="124">
        <f>'Pemakaian Dalam Negeri'!E68</f>
        <v>0</v>
      </c>
      <c r="J61" s="125">
        <f>'Pemakaian Dalam Negeri'!F68</f>
        <v>0</v>
      </c>
      <c r="K61" s="124">
        <f>'Pemakaian Dalam Negeri'!G68</f>
        <v>0</v>
      </c>
      <c r="L61" s="124">
        <f>'Pemakaian Dalam Negeri'!H68</f>
        <v>0.42846000000000001</v>
      </c>
      <c r="M61" s="124">
        <f>'Pemakaian Dalam Negeri'!I68</f>
        <v>0</v>
      </c>
      <c r="N61" s="124">
        <f>'Pemakaian Dalam Negeri'!J68</f>
        <v>38.17154</v>
      </c>
      <c r="O61" s="124" t="e">
        <f t="shared" si="1"/>
        <v>#REF!</v>
      </c>
      <c r="P61" s="124" t="e">
        <f t="shared" si="2"/>
        <v>#REF!</v>
      </c>
      <c r="Q61" s="126" t="e">
        <f t="shared" si="3"/>
        <v>#REF!</v>
      </c>
      <c r="R61" s="126" t="e">
        <f t="shared" si="7"/>
        <v>#REF!</v>
      </c>
      <c r="S61" s="126" t="e">
        <f t="shared" si="4"/>
        <v>#REF!</v>
      </c>
      <c r="T61" s="126" t="e">
        <f t="shared" si="5"/>
        <v>#REF!</v>
      </c>
      <c r="U61" s="127" t="e">
        <f t="shared" si="6"/>
        <v>#REF!</v>
      </c>
      <c r="V61" s="128"/>
      <c r="W61" s="41"/>
      <c r="X61" s="42"/>
      <c r="Y61" s="42"/>
      <c r="Z61" s="42"/>
      <c r="AA61" s="161"/>
      <c r="AB61" s="148">
        <v>1.1100000000000001</v>
      </c>
      <c r="AC61" s="149"/>
      <c r="AD61" s="158">
        <v>100</v>
      </c>
      <c r="AE61" s="159">
        <v>40</v>
      </c>
      <c r="AF61" s="159">
        <v>0.5</v>
      </c>
      <c r="AG61" s="159">
        <v>0.2</v>
      </c>
      <c r="AH61" s="120"/>
      <c r="AI61" s="120"/>
      <c r="AJ61" s="120"/>
      <c r="AK61" s="120"/>
      <c r="AL61" s="120"/>
      <c r="AM61" s="120"/>
      <c r="AN61" s="120"/>
      <c r="AO61" s="120"/>
    </row>
    <row r="62" spans="1:41" ht="14.1" customHeight="1" x14ac:dyDescent="0.2">
      <c r="A62" s="24"/>
      <c r="B62" s="10" t="s">
        <v>91</v>
      </c>
      <c r="C62" s="122">
        <f>Produksi!D65</f>
        <v>0</v>
      </c>
      <c r="D62" s="122">
        <f>Produksi!F65</f>
        <v>0</v>
      </c>
      <c r="E62" s="123" t="e">
        <f>#REF!</f>
        <v>#REF!</v>
      </c>
      <c r="F62" s="124" t="e">
        <f>#REF!+#REF!</f>
        <v>#REF!</v>
      </c>
      <c r="G62" s="124"/>
      <c r="H62" s="124" t="e">
        <f t="shared" si="8"/>
        <v>#REF!</v>
      </c>
      <c r="I62" s="124">
        <f>'Pemakaian Dalam Negeri'!E69</f>
        <v>0</v>
      </c>
      <c r="J62" s="125">
        <f>'Pemakaian Dalam Negeri'!F69</f>
        <v>0</v>
      </c>
      <c r="K62" s="124">
        <f>'Pemakaian Dalam Negeri'!G69</f>
        <v>0</v>
      </c>
      <c r="L62" s="124">
        <f>'Pemakaian Dalam Negeri'!H69</f>
        <v>2.0339434392528886</v>
      </c>
      <c r="M62" s="124">
        <f>'Pemakaian Dalam Negeri'!I69</f>
        <v>0</v>
      </c>
      <c r="N62" s="124">
        <f>'Pemakaian Dalam Negeri'!J69</f>
        <v>181.20420424118751</v>
      </c>
      <c r="O62" s="124" t="e">
        <f t="shared" si="1"/>
        <v>#REF!</v>
      </c>
      <c r="P62" s="124" t="e">
        <f t="shared" si="2"/>
        <v>#REF!</v>
      </c>
      <c r="Q62" s="126" t="e">
        <f t="shared" si="3"/>
        <v>#REF!</v>
      </c>
      <c r="R62" s="126" t="e">
        <f t="shared" si="7"/>
        <v>#REF!</v>
      </c>
      <c r="S62" s="126" t="e">
        <f t="shared" si="4"/>
        <v>#REF!</v>
      </c>
      <c r="T62" s="126" t="e">
        <f t="shared" si="5"/>
        <v>#REF!</v>
      </c>
      <c r="U62" s="127" t="e">
        <f t="shared" si="6"/>
        <v>#REF!</v>
      </c>
      <c r="V62" s="128"/>
      <c r="W62" s="41"/>
      <c r="X62" s="42"/>
      <c r="Y62" s="42"/>
      <c r="Z62" s="42"/>
      <c r="AA62" s="161"/>
      <c r="AB62" s="148">
        <v>1.1100000000000001</v>
      </c>
      <c r="AC62" s="149"/>
      <c r="AD62" s="119">
        <v>63</v>
      </c>
      <c r="AE62" s="131">
        <v>58.7</v>
      </c>
      <c r="AF62" s="131">
        <v>1</v>
      </c>
      <c r="AG62" s="131">
        <v>1.8</v>
      </c>
      <c r="AH62" s="120"/>
      <c r="AI62" s="120"/>
      <c r="AJ62" s="120"/>
      <c r="AK62" s="120"/>
      <c r="AL62" s="120"/>
      <c r="AM62" s="120"/>
      <c r="AN62" s="120"/>
      <c r="AO62" s="120"/>
    </row>
    <row r="63" spans="1:41" ht="14.1" customHeight="1" x14ac:dyDescent="0.2">
      <c r="A63" s="23"/>
      <c r="B63" s="10" t="s">
        <v>92</v>
      </c>
      <c r="C63" s="122">
        <f>Produksi!D66</f>
        <v>0</v>
      </c>
      <c r="D63" s="122">
        <f>Produksi!F66</f>
        <v>0</v>
      </c>
      <c r="E63" s="123" t="e">
        <f>#REF!</f>
        <v>#REF!</v>
      </c>
      <c r="F63" s="124" t="e">
        <f>#REF!+#REF!</f>
        <v>#REF!</v>
      </c>
      <c r="G63" s="124"/>
      <c r="H63" s="124" t="e">
        <f t="shared" si="8"/>
        <v>#REF!</v>
      </c>
      <c r="I63" s="124">
        <f>'Pemakaian Dalam Negeri'!E70</f>
        <v>0</v>
      </c>
      <c r="J63" s="125">
        <f>'Pemakaian Dalam Negeri'!F70</f>
        <v>0</v>
      </c>
      <c r="K63" s="124">
        <f>'Pemakaian Dalam Negeri'!G70</f>
        <v>0</v>
      </c>
      <c r="L63" s="124">
        <f>'Pemakaian Dalam Negeri'!H70</f>
        <v>0.9657</v>
      </c>
      <c r="M63" s="124">
        <f>'Pemakaian Dalam Negeri'!I70</f>
        <v>0</v>
      </c>
      <c r="N63" s="124">
        <f>'Pemakaian Dalam Negeri'!J70</f>
        <v>86.034300000000002</v>
      </c>
      <c r="O63" s="124" t="e">
        <f t="shared" si="1"/>
        <v>#REF!</v>
      </c>
      <c r="P63" s="124" t="e">
        <f t="shared" si="2"/>
        <v>#REF!</v>
      </c>
      <c r="Q63" s="126" t="e">
        <f t="shared" si="3"/>
        <v>#REF!</v>
      </c>
      <c r="R63" s="126" t="e">
        <f t="shared" si="7"/>
        <v>#REF!</v>
      </c>
      <c r="S63" s="126" t="e">
        <f t="shared" si="4"/>
        <v>#REF!</v>
      </c>
      <c r="T63" s="126" t="e">
        <f t="shared" si="5"/>
        <v>#REF!</v>
      </c>
      <c r="U63" s="127" t="e">
        <f t="shared" si="6"/>
        <v>#REF!</v>
      </c>
      <c r="V63" s="128"/>
      <c r="W63" s="41"/>
      <c r="X63" s="42"/>
      <c r="Y63" s="42"/>
      <c r="Z63" s="42"/>
      <c r="AA63" s="161"/>
      <c r="AB63" s="148">
        <v>1.1100000000000001</v>
      </c>
      <c r="AC63" s="149"/>
      <c r="AD63" s="119">
        <v>100</v>
      </c>
      <c r="AE63" s="131">
        <v>77</v>
      </c>
      <c r="AF63" s="131">
        <v>0.45</v>
      </c>
      <c r="AG63" s="131">
        <v>0.15</v>
      </c>
      <c r="AH63" s="120"/>
      <c r="AI63" s="120"/>
      <c r="AJ63" s="120"/>
      <c r="AK63" s="120"/>
      <c r="AL63" s="120"/>
      <c r="AM63" s="120"/>
      <c r="AN63" s="120"/>
      <c r="AO63" s="120"/>
    </row>
    <row r="64" spans="1:41" ht="14.1" customHeight="1" x14ac:dyDescent="0.2">
      <c r="A64" s="25"/>
      <c r="B64" s="11" t="s">
        <v>5</v>
      </c>
      <c r="C64" s="122">
        <f>Produksi!D67</f>
        <v>7</v>
      </c>
      <c r="D64" s="122">
        <f>Produksi!F67</f>
        <v>7</v>
      </c>
      <c r="E64" s="123" t="e">
        <f>#REF!</f>
        <v>#REF!</v>
      </c>
      <c r="F64" s="124" t="e">
        <f>#REF!+#REF!</f>
        <v>#REF!</v>
      </c>
      <c r="G64" s="124"/>
      <c r="H64" s="124" t="e">
        <f t="shared" si="8"/>
        <v>#REF!</v>
      </c>
      <c r="I64" s="124">
        <f>'Pemakaian Dalam Negeri'!E71</f>
        <v>0</v>
      </c>
      <c r="J64" s="125">
        <f>'Pemakaian Dalam Negeri'!F71</f>
        <v>0</v>
      </c>
      <c r="K64" s="124">
        <f>'Pemakaian Dalam Negeri'!G71</f>
        <v>0</v>
      </c>
      <c r="L64" s="124">
        <f>'Pemakaian Dalam Negeri'!H71</f>
        <v>0</v>
      </c>
      <c r="M64" s="124">
        <f>'Pemakaian Dalam Negeri'!I71</f>
        <v>0</v>
      </c>
      <c r="N64" s="124">
        <f>'Pemakaian Dalam Negeri'!J71</f>
        <v>0</v>
      </c>
      <c r="O64" s="124" t="e">
        <f t="shared" si="1"/>
        <v>#REF!</v>
      </c>
      <c r="P64" s="124" t="e">
        <f t="shared" si="2"/>
        <v>#REF!</v>
      </c>
      <c r="Q64" s="126" t="e">
        <f t="shared" si="3"/>
        <v>#REF!</v>
      </c>
      <c r="R64" s="126" t="e">
        <f t="shared" si="7"/>
        <v>#REF!</v>
      </c>
      <c r="S64" s="126" t="e">
        <f t="shared" si="4"/>
        <v>#REF!</v>
      </c>
      <c r="T64" s="126" t="e">
        <f t="shared" si="5"/>
        <v>#REF!</v>
      </c>
      <c r="U64" s="127" t="e">
        <f t="shared" si="6"/>
        <v>#REF!</v>
      </c>
      <c r="V64" s="128"/>
      <c r="W64" s="41"/>
      <c r="X64" s="42"/>
      <c r="Y64" s="42"/>
      <c r="Z64" s="42"/>
      <c r="AA64" s="161"/>
      <c r="AB64" s="148">
        <v>1.1100000000000001</v>
      </c>
      <c r="AC64" s="149"/>
      <c r="AD64" s="119">
        <v>71</v>
      </c>
      <c r="AE64" s="131">
        <v>34</v>
      </c>
      <c r="AF64" s="131">
        <v>0.5</v>
      </c>
      <c r="AG64" s="131">
        <v>0.8</v>
      </c>
      <c r="AH64" s="120"/>
      <c r="AI64" s="120"/>
      <c r="AJ64" s="120"/>
      <c r="AK64" s="120"/>
      <c r="AL64" s="120"/>
      <c r="AM64" s="120"/>
      <c r="AN64" s="120"/>
      <c r="AO64" s="120"/>
    </row>
    <row r="65" spans="1:41" ht="14.1" customHeight="1" x14ac:dyDescent="0.2">
      <c r="A65" s="25"/>
      <c r="B65" s="11" t="s">
        <v>6</v>
      </c>
      <c r="C65" s="122">
        <f>Produksi!D68</f>
        <v>10</v>
      </c>
      <c r="D65" s="122">
        <f>Produksi!F68</f>
        <v>10</v>
      </c>
      <c r="E65" s="123" t="e">
        <f>#REF!</f>
        <v>#REF!</v>
      </c>
      <c r="F65" s="124" t="e">
        <f>#REF!+#REF!</f>
        <v>#REF!</v>
      </c>
      <c r="G65" s="124"/>
      <c r="H65" s="124" t="e">
        <f t="shared" si="8"/>
        <v>#REF!</v>
      </c>
      <c r="I65" s="124">
        <f>'Pemakaian Dalam Negeri'!E72</f>
        <v>0</v>
      </c>
      <c r="J65" s="125">
        <f>'Pemakaian Dalam Negeri'!F72</f>
        <v>0</v>
      </c>
      <c r="K65" s="124">
        <f>'Pemakaian Dalam Negeri'!G72</f>
        <v>0</v>
      </c>
      <c r="L65" s="124">
        <f>'Pemakaian Dalam Negeri'!H72</f>
        <v>0</v>
      </c>
      <c r="M65" s="124">
        <f>'Pemakaian Dalam Negeri'!I72</f>
        <v>0</v>
      </c>
      <c r="N65" s="124">
        <f>'Pemakaian Dalam Negeri'!J72</f>
        <v>0</v>
      </c>
      <c r="O65" s="124" t="e">
        <f t="shared" si="1"/>
        <v>#REF!</v>
      </c>
      <c r="P65" s="124" t="e">
        <f t="shared" si="2"/>
        <v>#REF!</v>
      </c>
      <c r="Q65" s="126" t="e">
        <f t="shared" si="3"/>
        <v>#REF!</v>
      </c>
      <c r="R65" s="126" t="e">
        <f t="shared" si="7"/>
        <v>#REF!</v>
      </c>
      <c r="S65" s="126" t="e">
        <f t="shared" si="4"/>
        <v>#REF!</v>
      </c>
      <c r="T65" s="126" t="e">
        <f t="shared" si="5"/>
        <v>#REF!</v>
      </c>
      <c r="U65" s="127" t="e">
        <f t="shared" si="6"/>
        <v>#REF!</v>
      </c>
      <c r="V65" s="128"/>
      <c r="W65" s="41"/>
      <c r="X65" s="42"/>
      <c r="Y65" s="42"/>
      <c r="Z65" s="42"/>
      <c r="AA65" s="161"/>
      <c r="AB65" s="148">
        <v>1.1100000000000001</v>
      </c>
      <c r="AC65" s="149"/>
      <c r="AD65" s="119">
        <v>62</v>
      </c>
      <c r="AE65" s="131">
        <v>48</v>
      </c>
      <c r="AF65" s="131">
        <v>0.6</v>
      </c>
      <c r="AG65" s="131">
        <v>0.2</v>
      </c>
      <c r="AH65" s="120"/>
      <c r="AI65" s="120"/>
      <c r="AJ65" s="120"/>
      <c r="AK65" s="120"/>
      <c r="AL65" s="120"/>
      <c r="AM65" s="120"/>
      <c r="AN65" s="120"/>
      <c r="AO65" s="120"/>
    </row>
    <row r="66" spans="1:41" ht="14.1" customHeight="1" x14ac:dyDescent="0.2">
      <c r="A66" s="25"/>
      <c r="B66" s="11" t="s">
        <v>7</v>
      </c>
      <c r="C66" s="122">
        <f>Produksi!D69</f>
        <v>0</v>
      </c>
      <c r="D66" s="122">
        <f>Produksi!F69</f>
        <v>0</v>
      </c>
      <c r="E66" s="123" t="e">
        <f>#REF!</f>
        <v>#REF!</v>
      </c>
      <c r="F66" s="124" t="e">
        <f>#REF!+#REF!</f>
        <v>#REF!</v>
      </c>
      <c r="G66" s="124"/>
      <c r="H66" s="124" t="e">
        <f t="shared" si="8"/>
        <v>#REF!</v>
      </c>
      <c r="I66" s="124">
        <f>'Pemakaian Dalam Negeri'!E73</f>
        <v>0</v>
      </c>
      <c r="J66" s="125">
        <f>'Pemakaian Dalam Negeri'!F73</f>
        <v>0</v>
      </c>
      <c r="K66" s="124">
        <f>'Pemakaian Dalam Negeri'!G73</f>
        <v>0</v>
      </c>
      <c r="L66" s="124">
        <f>'Pemakaian Dalam Negeri'!H73</f>
        <v>7.7700000000000005E-2</v>
      </c>
      <c r="M66" s="124">
        <f>'Pemakaian Dalam Negeri'!I73</f>
        <v>0</v>
      </c>
      <c r="N66" s="124">
        <f>'Pemakaian Dalam Negeri'!J73</f>
        <v>6.9222999999999999</v>
      </c>
      <c r="O66" s="124" t="e">
        <f t="shared" si="1"/>
        <v>#REF!</v>
      </c>
      <c r="P66" s="124" t="e">
        <f t="shared" si="2"/>
        <v>#REF!</v>
      </c>
      <c r="Q66" s="126" t="e">
        <f t="shared" si="3"/>
        <v>#REF!</v>
      </c>
      <c r="R66" s="126" t="e">
        <f t="shared" si="7"/>
        <v>#REF!</v>
      </c>
      <c r="S66" s="126" t="e">
        <f t="shared" si="4"/>
        <v>#REF!</v>
      </c>
      <c r="T66" s="126" t="e">
        <f t="shared" si="5"/>
        <v>#REF!</v>
      </c>
      <c r="U66" s="127" t="e">
        <f t="shared" si="6"/>
        <v>#REF!</v>
      </c>
      <c r="V66" s="128"/>
      <c r="W66" s="41"/>
      <c r="X66" s="42"/>
      <c r="Y66" s="42"/>
      <c r="Z66" s="42"/>
      <c r="AA66" s="161"/>
      <c r="AB66" s="148">
        <v>1.1100000000000001</v>
      </c>
      <c r="AC66" s="149"/>
      <c r="AD66" s="119">
        <v>100</v>
      </c>
      <c r="AE66" s="131">
        <v>296</v>
      </c>
      <c r="AF66" s="131">
        <v>2.5</v>
      </c>
      <c r="AG66" s="131">
        <v>0</v>
      </c>
      <c r="AH66" s="120"/>
      <c r="AI66" s="120"/>
      <c r="AJ66" s="120"/>
      <c r="AK66" s="120"/>
      <c r="AL66" s="120"/>
      <c r="AM66" s="120"/>
      <c r="AN66" s="120"/>
      <c r="AO66" s="120"/>
    </row>
    <row r="67" spans="1:41" ht="14.1" customHeight="1" x14ac:dyDescent="0.2">
      <c r="A67" s="25"/>
      <c r="B67" s="11" t="s">
        <v>93</v>
      </c>
      <c r="C67" s="122">
        <f>Produksi!D70</f>
        <v>0</v>
      </c>
      <c r="D67" s="122">
        <f>Produksi!F70</f>
        <v>0</v>
      </c>
      <c r="E67" s="123" t="e">
        <f>#REF!</f>
        <v>#REF!</v>
      </c>
      <c r="F67" s="124" t="e">
        <f>#REF!+#REF!</f>
        <v>#REF!</v>
      </c>
      <c r="G67" s="124"/>
      <c r="H67" s="124" t="e">
        <f t="shared" si="8"/>
        <v>#REF!</v>
      </c>
      <c r="I67" s="124">
        <f>'Pemakaian Dalam Negeri'!E74</f>
        <v>0</v>
      </c>
      <c r="J67" s="125">
        <f>'Pemakaian Dalam Negeri'!F74</f>
        <v>0</v>
      </c>
      <c r="K67" s="124">
        <f>'Pemakaian Dalam Negeri'!G74</f>
        <v>0</v>
      </c>
      <c r="L67" s="124">
        <f>'Pemakaian Dalam Negeri'!H74</f>
        <v>0.111</v>
      </c>
      <c r="M67" s="124">
        <f>'Pemakaian Dalam Negeri'!I74</f>
        <v>0</v>
      </c>
      <c r="N67" s="124">
        <f>'Pemakaian Dalam Negeri'!J74</f>
        <v>9.8889999999999993</v>
      </c>
      <c r="O67" s="124" t="e">
        <f t="shared" si="1"/>
        <v>#REF!</v>
      </c>
      <c r="P67" s="124" t="e">
        <f t="shared" si="2"/>
        <v>#REF!</v>
      </c>
      <c r="Q67" s="126" t="e">
        <f t="shared" si="3"/>
        <v>#REF!</v>
      </c>
      <c r="R67" s="126" t="e">
        <f t="shared" si="7"/>
        <v>#REF!</v>
      </c>
      <c r="S67" s="126" t="e">
        <f t="shared" si="4"/>
        <v>#REF!</v>
      </c>
      <c r="T67" s="126" t="e">
        <f t="shared" si="5"/>
        <v>#REF!</v>
      </c>
      <c r="U67" s="127" t="e">
        <f t="shared" si="6"/>
        <v>#REF!</v>
      </c>
      <c r="V67" s="128"/>
      <c r="W67" s="41"/>
      <c r="X67" s="42"/>
      <c r="Y67" s="42"/>
      <c r="Z67" s="42"/>
      <c r="AA67" s="161"/>
      <c r="AB67" s="162">
        <v>1.1100000000000001</v>
      </c>
      <c r="AC67" s="149"/>
      <c r="AD67" s="119">
        <v>100</v>
      </c>
      <c r="AE67" s="131">
        <v>69</v>
      </c>
      <c r="AF67" s="131">
        <v>0.6</v>
      </c>
      <c r="AG67" s="131">
        <v>0.1</v>
      </c>
      <c r="AH67" s="120"/>
      <c r="AI67" s="120"/>
      <c r="AJ67" s="120"/>
      <c r="AK67" s="120"/>
      <c r="AL67" s="120"/>
      <c r="AM67" s="120"/>
      <c r="AN67" s="120"/>
      <c r="AO67" s="120"/>
    </row>
    <row r="68" spans="1:41" ht="14.1" customHeight="1" x14ac:dyDescent="0.2">
      <c r="A68" s="25"/>
      <c r="B68" s="44" t="s">
        <v>8</v>
      </c>
      <c r="C68" s="122">
        <f>Produksi!D71</f>
        <v>0</v>
      </c>
      <c r="D68" s="122">
        <f>Produksi!F71</f>
        <v>0</v>
      </c>
      <c r="E68" s="123" t="e">
        <f>#REF!</f>
        <v>#REF!</v>
      </c>
      <c r="F68" s="124" t="e">
        <f>#REF!+#REF!</f>
        <v>#REF!</v>
      </c>
      <c r="G68" s="124"/>
      <c r="H68" s="124" t="e">
        <f t="shared" si="8"/>
        <v>#REF!</v>
      </c>
      <c r="I68" s="124">
        <f>'Pemakaian Dalam Negeri'!E75</f>
        <v>0</v>
      </c>
      <c r="J68" s="125">
        <f>'Pemakaian Dalam Negeri'!F75</f>
        <v>0</v>
      </c>
      <c r="K68" s="124">
        <f>'Pemakaian Dalam Negeri'!G75</f>
        <v>0</v>
      </c>
      <c r="L68" s="124">
        <f>'Pemakaian Dalam Negeri'!H75</f>
        <v>0</v>
      </c>
      <c r="M68" s="124">
        <f>'Pemakaian Dalam Negeri'!I75</f>
        <v>0</v>
      </c>
      <c r="N68" s="124">
        <f>'Pemakaian Dalam Negeri'!J75</f>
        <v>0</v>
      </c>
      <c r="O68" s="124" t="e">
        <f t="shared" si="1"/>
        <v>#REF!</v>
      </c>
      <c r="P68" s="124" t="e">
        <f t="shared" si="2"/>
        <v>#REF!</v>
      </c>
      <c r="Q68" s="126" t="e">
        <f t="shared" si="3"/>
        <v>#REF!</v>
      </c>
      <c r="R68" s="126" t="e">
        <f t="shared" si="7"/>
        <v>#REF!</v>
      </c>
      <c r="S68" s="126" t="e">
        <f t="shared" si="4"/>
        <v>#REF!</v>
      </c>
      <c r="T68" s="126" t="e">
        <f t="shared" si="5"/>
        <v>#REF!</v>
      </c>
      <c r="U68" s="127" t="e">
        <f t="shared" si="6"/>
        <v>#REF!</v>
      </c>
      <c r="V68" s="128"/>
      <c r="W68" s="41"/>
      <c r="X68" s="42"/>
      <c r="Y68" s="42"/>
      <c r="Z68" s="42"/>
      <c r="AA68" s="161"/>
      <c r="AB68" s="148">
        <v>1.1100000000000001</v>
      </c>
      <c r="AC68" s="149"/>
      <c r="AD68" s="119">
        <v>100</v>
      </c>
      <c r="AE68" s="131">
        <v>66</v>
      </c>
      <c r="AF68" s="131">
        <v>0.4</v>
      </c>
      <c r="AG68" s="131">
        <v>0</v>
      </c>
      <c r="AH68" s="120"/>
      <c r="AI68" s="120"/>
      <c r="AJ68" s="120"/>
      <c r="AK68" s="120"/>
      <c r="AL68" s="120"/>
      <c r="AM68" s="120"/>
      <c r="AN68" s="120"/>
      <c r="AO68" s="120"/>
    </row>
    <row r="69" spans="1:41" ht="14.1" customHeight="1" x14ac:dyDescent="0.2">
      <c r="A69" s="25"/>
      <c r="B69" s="11" t="s">
        <v>9</v>
      </c>
      <c r="C69" s="122">
        <f>Produksi!D72</f>
        <v>0</v>
      </c>
      <c r="D69" s="122">
        <f>Produksi!F72</f>
        <v>0</v>
      </c>
      <c r="E69" s="123" t="e">
        <f>#REF!</f>
        <v>#REF!</v>
      </c>
      <c r="F69" s="124" t="e">
        <f>#REF!+#REF!</f>
        <v>#REF!</v>
      </c>
      <c r="G69" s="124"/>
      <c r="H69" s="124" t="e">
        <f t="shared" si="8"/>
        <v>#REF!</v>
      </c>
      <c r="I69" s="124">
        <f>'Pemakaian Dalam Negeri'!E76</f>
        <v>0</v>
      </c>
      <c r="J69" s="125">
        <f>'Pemakaian Dalam Negeri'!F76</f>
        <v>0</v>
      </c>
      <c r="K69" s="124">
        <f>'Pemakaian Dalam Negeri'!G76</f>
        <v>0</v>
      </c>
      <c r="L69" s="124">
        <f>'Pemakaian Dalam Negeri'!H76</f>
        <v>0</v>
      </c>
      <c r="M69" s="124">
        <f>'Pemakaian Dalam Negeri'!I76</f>
        <v>0</v>
      </c>
      <c r="N69" s="124">
        <f>'Pemakaian Dalam Negeri'!J76</f>
        <v>0</v>
      </c>
      <c r="O69" s="124" t="e">
        <f t="shared" si="1"/>
        <v>#REF!</v>
      </c>
      <c r="P69" s="124" t="e">
        <f t="shared" si="2"/>
        <v>#REF!</v>
      </c>
      <c r="Q69" s="126" t="e">
        <f t="shared" si="3"/>
        <v>#REF!</v>
      </c>
      <c r="R69" s="126" t="e">
        <f t="shared" si="7"/>
        <v>#REF!</v>
      </c>
      <c r="S69" s="126" t="e">
        <f t="shared" si="4"/>
        <v>#REF!</v>
      </c>
      <c r="T69" s="126" t="e">
        <f t="shared" si="5"/>
        <v>#REF!</v>
      </c>
      <c r="U69" s="127" t="e">
        <f t="shared" si="6"/>
        <v>#REF!</v>
      </c>
      <c r="V69" s="128"/>
      <c r="W69" s="41"/>
      <c r="X69" s="42"/>
      <c r="Y69" s="42"/>
      <c r="Z69" s="42"/>
      <c r="AA69" s="161"/>
      <c r="AB69" s="148">
        <v>1.1100000000000001</v>
      </c>
      <c r="AC69" s="149"/>
      <c r="AD69" s="119">
        <v>100</v>
      </c>
      <c r="AE69" s="131">
        <v>34</v>
      </c>
      <c r="AF69" s="131">
        <v>15</v>
      </c>
      <c r="AG69" s="131">
        <v>0.3</v>
      </c>
      <c r="AH69" s="120"/>
      <c r="AI69" s="120"/>
      <c r="AJ69" s="120"/>
      <c r="AK69" s="120"/>
      <c r="AL69" s="120"/>
      <c r="AM69" s="120"/>
      <c r="AN69" s="120"/>
      <c r="AO69" s="120"/>
    </row>
    <row r="70" spans="1:41" ht="14.1" customHeight="1" x14ac:dyDescent="0.2">
      <c r="A70" s="25"/>
      <c r="B70" s="11" t="s">
        <v>10</v>
      </c>
      <c r="C70" s="122">
        <f>Produksi!D73</f>
        <v>0</v>
      </c>
      <c r="D70" s="122">
        <f>Produksi!F73</f>
        <v>0</v>
      </c>
      <c r="E70" s="123" t="e">
        <f>#REF!</f>
        <v>#REF!</v>
      </c>
      <c r="F70" s="124" t="e">
        <f>#REF!+#REF!</f>
        <v>#REF!</v>
      </c>
      <c r="G70" s="124"/>
      <c r="H70" s="124" t="e">
        <f t="shared" si="8"/>
        <v>#REF!</v>
      </c>
      <c r="I70" s="124">
        <f>'Pemakaian Dalam Negeri'!E77</f>
        <v>0</v>
      </c>
      <c r="J70" s="125">
        <f>'Pemakaian Dalam Negeri'!F77</f>
        <v>0</v>
      </c>
      <c r="K70" s="124">
        <f>'Pemakaian Dalam Negeri'!G77</f>
        <v>0</v>
      </c>
      <c r="L70" s="124">
        <f>'Pemakaian Dalam Negeri'!H77</f>
        <v>0.55500000000000005</v>
      </c>
      <c r="M70" s="124">
        <f>'Pemakaian Dalam Negeri'!I77</f>
        <v>0</v>
      </c>
      <c r="N70" s="124">
        <f>'Pemakaian Dalam Negeri'!J77</f>
        <v>49.445</v>
      </c>
      <c r="O70" s="124" t="e">
        <f t="shared" si="1"/>
        <v>#REF!</v>
      </c>
      <c r="P70" s="124" t="e">
        <f t="shared" si="2"/>
        <v>#REF!</v>
      </c>
      <c r="Q70" s="126" t="e">
        <f t="shared" si="3"/>
        <v>#REF!</v>
      </c>
      <c r="R70" s="126" t="e">
        <f t="shared" si="7"/>
        <v>#REF!</v>
      </c>
      <c r="S70" s="126" t="e">
        <f t="shared" si="4"/>
        <v>#REF!</v>
      </c>
      <c r="T70" s="126" t="e">
        <f t="shared" si="5"/>
        <v>#REF!</v>
      </c>
      <c r="U70" s="127" t="e">
        <f t="shared" si="6"/>
        <v>#REF!</v>
      </c>
      <c r="V70" s="128"/>
      <c r="W70" s="41"/>
      <c r="X70" s="42"/>
      <c r="Y70" s="42"/>
      <c r="Z70" s="42"/>
      <c r="AA70" s="161"/>
      <c r="AB70" s="148">
        <v>1.1100000000000001</v>
      </c>
      <c r="AC70" s="149"/>
      <c r="AD70" s="119">
        <v>100</v>
      </c>
      <c r="AE70" s="131">
        <v>23</v>
      </c>
      <c r="AF70" s="131">
        <v>1.7</v>
      </c>
      <c r="AG70" s="131">
        <v>0.1</v>
      </c>
      <c r="AH70" s="120"/>
      <c r="AI70" s="120"/>
      <c r="AJ70" s="120"/>
      <c r="AK70" s="120"/>
      <c r="AL70" s="120"/>
      <c r="AM70" s="120"/>
      <c r="AN70" s="120"/>
      <c r="AO70" s="120"/>
    </row>
    <row r="71" spans="1:41" ht="14.1" customHeight="1" x14ac:dyDescent="0.2">
      <c r="A71" s="25"/>
      <c r="B71" s="11" t="s">
        <v>11</v>
      </c>
      <c r="C71" s="122">
        <f>Produksi!D74</f>
        <v>0</v>
      </c>
      <c r="D71" s="122">
        <f>Produksi!F74</f>
        <v>0</v>
      </c>
      <c r="E71" s="123" t="e">
        <f>#REF!</f>
        <v>#REF!</v>
      </c>
      <c r="F71" s="124" t="e">
        <f>#REF!+#REF!</f>
        <v>#REF!</v>
      </c>
      <c r="G71" s="124"/>
      <c r="H71" s="124" t="e">
        <f t="shared" si="8"/>
        <v>#REF!</v>
      </c>
      <c r="I71" s="124">
        <f>'Pemakaian Dalam Negeri'!E78</f>
        <v>0</v>
      </c>
      <c r="J71" s="125">
        <f>'Pemakaian Dalam Negeri'!F78</f>
        <v>0</v>
      </c>
      <c r="K71" s="124">
        <f>'Pemakaian Dalam Negeri'!G78</f>
        <v>0</v>
      </c>
      <c r="L71" s="124">
        <f>'Pemakaian Dalam Negeri'!H78</f>
        <v>0</v>
      </c>
      <c r="M71" s="124">
        <f>'Pemakaian Dalam Negeri'!I78</f>
        <v>0</v>
      </c>
      <c r="N71" s="124">
        <f>'Pemakaian Dalam Negeri'!J78</f>
        <v>0</v>
      </c>
      <c r="O71" s="124" t="e">
        <f t="shared" si="1"/>
        <v>#REF!</v>
      </c>
      <c r="P71" s="124" t="e">
        <f t="shared" si="2"/>
        <v>#REF!</v>
      </c>
      <c r="Q71" s="126" t="e">
        <f t="shared" si="3"/>
        <v>#REF!</v>
      </c>
      <c r="R71" s="126" t="e">
        <f t="shared" si="7"/>
        <v>#REF!</v>
      </c>
      <c r="S71" s="126" t="e">
        <f t="shared" si="4"/>
        <v>#REF!</v>
      </c>
      <c r="T71" s="126" t="e">
        <f t="shared" si="5"/>
        <v>#REF!</v>
      </c>
      <c r="U71" s="127" t="e">
        <f t="shared" si="6"/>
        <v>#REF!</v>
      </c>
      <c r="V71" s="128"/>
      <c r="W71" s="41"/>
      <c r="X71" s="42"/>
      <c r="Y71" s="42"/>
      <c r="Z71" s="42"/>
      <c r="AA71" s="161"/>
      <c r="AB71" s="148">
        <v>1.1100000000000001</v>
      </c>
      <c r="AC71" s="149"/>
      <c r="AD71" s="119">
        <v>100</v>
      </c>
      <c r="AE71" s="131">
        <v>46</v>
      </c>
      <c r="AF71" s="131">
        <v>0.9</v>
      </c>
      <c r="AG71" s="131">
        <v>0.4</v>
      </c>
      <c r="AH71" s="120"/>
      <c r="AI71" s="120"/>
      <c r="AJ71" s="120"/>
      <c r="AK71" s="120"/>
      <c r="AL71" s="120"/>
      <c r="AM71" s="120"/>
      <c r="AN71" s="120"/>
      <c r="AO71" s="120"/>
    </row>
    <row r="72" spans="1:41" ht="14.1" customHeight="1" x14ac:dyDescent="0.2">
      <c r="A72" s="25"/>
      <c r="B72" s="11" t="s">
        <v>12</v>
      </c>
      <c r="C72" s="122">
        <f>Produksi!D75</f>
        <v>0</v>
      </c>
      <c r="D72" s="122">
        <f>Produksi!F75</f>
        <v>0</v>
      </c>
      <c r="E72" s="123" t="e">
        <f>#REF!</f>
        <v>#REF!</v>
      </c>
      <c r="F72" s="124" t="e">
        <f>#REF!+#REF!</f>
        <v>#REF!</v>
      </c>
      <c r="G72" s="124"/>
      <c r="H72" s="124" t="e">
        <f t="shared" si="8"/>
        <v>#REF!</v>
      </c>
      <c r="I72" s="124">
        <f>'Pemakaian Dalam Negeri'!E79</f>
        <v>0</v>
      </c>
      <c r="J72" s="125">
        <f>'Pemakaian Dalam Negeri'!F79</f>
        <v>0</v>
      </c>
      <c r="K72" s="124">
        <f>'Pemakaian Dalam Negeri'!G79</f>
        <v>0</v>
      </c>
      <c r="L72" s="124">
        <f>'Pemakaian Dalam Negeri'!H79</f>
        <v>0</v>
      </c>
      <c r="M72" s="124">
        <f>'Pemakaian Dalam Negeri'!I79</f>
        <v>0</v>
      </c>
      <c r="N72" s="124">
        <f>'Pemakaian Dalam Negeri'!J79</f>
        <v>0</v>
      </c>
      <c r="O72" s="124" t="e">
        <f t="shared" si="1"/>
        <v>#REF!</v>
      </c>
      <c r="P72" s="124" t="e">
        <f t="shared" si="2"/>
        <v>#REF!</v>
      </c>
      <c r="Q72" s="126" t="e">
        <f t="shared" si="3"/>
        <v>#REF!</v>
      </c>
      <c r="R72" s="126" t="e">
        <f t="shared" si="7"/>
        <v>#REF!</v>
      </c>
      <c r="S72" s="126" t="e">
        <f t="shared" si="4"/>
        <v>#REF!</v>
      </c>
      <c r="T72" s="126" t="e">
        <f t="shared" si="5"/>
        <v>#REF!</v>
      </c>
      <c r="U72" s="127" t="e">
        <f t="shared" si="6"/>
        <v>#REF!</v>
      </c>
      <c r="V72" s="128"/>
      <c r="W72" s="41"/>
      <c r="X72" s="42"/>
      <c r="Y72" s="42"/>
      <c r="Z72" s="42"/>
      <c r="AA72" s="161"/>
      <c r="AB72" s="148">
        <v>1.1100000000000001</v>
      </c>
      <c r="AC72" s="149"/>
      <c r="AD72" s="119">
        <v>100</v>
      </c>
      <c r="AE72" s="131">
        <v>78</v>
      </c>
      <c r="AF72" s="131">
        <v>0.8</v>
      </c>
      <c r="AG72" s="131">
        <v>0.4</v>
      </c>
      <c r="AH72" s="120"/>
      <c r="AI72" s="120"/>
      <c r="AJ72" s="120"/>
      <c r="AK72" s="120"/>
      <c r="AL72" s="120"/>
      <c r="AM72" s="120"/>
      <c r="AN72" s="120"/>
      <c r="AO72" s="120"/>
    </row>
    <row r="73" spans="1:41" s="163" customFormat="1" x14ac:dyDescent="0.2">
      <c r="A73" s="25"/>
      <c r="B73" s="11" t="s">
        <v>13</v>
      </c>
      <c r="C73" s="122">
        <f>Produksi!D76</f>
        <v>58</v>
      </c>
      <c r="D73" s="122">
        <f>Produksi!F76</f>
        <v>58</v>
      </c>
      <c r="E73" s="123" t="e">
        <f>#REF!</f>
        <v>#REF!</v>
      </c>
      <c r="F73" s="124" t="e">
        <f>#REF!+#REF!</f>
        <v>#REF!</v>
      </c>
      <c r="G73" s="124"/>
      <c r="H73" s="124" t="e">
        <f t="shared" si="8"/>
        <v>#REF!</v>
      </c>
      <c r="I73" s="124">
        <f>'Pemakaian Dalam Negeri'!E80</f>
        <v>0</v>
      </c>
      <c r="J73" s="125">
        <f>'Pemakaian Dalam Negeri'!F80</f>
        <v>0</v>
      </c>
      <c r="K73" s="124">
        <f>'Pemakaian Dalam Negeri'!G80</f>
        <v>0</v>
      </c>
      <c r="L73" s="124">
        <f>'Pemakaian Dalam Negeri'!H80</f>
        <v>0</v>
      </c>
      <c r="M73" s="124">
        <f>'Pemakaian Dalam Negeri'!I80</f>
        <v>0</v>
      </c>
      <c r="N73" s="124">
        <f>'Pemakaian Dalam Negeri'!J80</f>
        <v>0</v>
      </c>
      <c r="O73" s="124" t="e">
        <f t="shared" si="1"/>
        <v>#REF!</v>
      </c>
      <c r="P73" s="124" t="e">
        <f t="shared" si="2"/>
        <v>#REF!</v>
      </c>
      <c r="Q73" s="126" t="e">
        <f t="shared" si="3"/>
        <v>#REF!</v>
      </c>
      <c r="R73" s="126" t="e">
        <f t="shared" si="7"/>
        <v>#REF!</v>
      </c>
      <c r="S73" s="126" t="e">
        <f t="shared" si="4"/>
        <v>#REF!</v>
      </c>
      <c r="T73" s="126" t="e">
        <f t="shared" si="5"/>
        <v>#REF!</v>
      </c>
      <c r="U73" s="127" t="e">
        <f t="shared" si="6"/>
        <v>#REF!</v>
      </c>
      <c r="AB73" s="148">
        <v>1.1100000000000001</v>
      </c>
      <c r="AD73" s="119">
        <v>100</v>
      </c>
      <c r="AE73" s="131">
        <v>70</v>
      </c>
      <c r="AF73" s="131">
        <v>0.8</v>
      </c>
      <c r="AG73" s="131">
        <v>0.3</v>
      </c>
      <c r="AH73" s="120"/>
      <c r="AI73" s="120"/>
      <c r="AJ73" s="120"/>
      <c r="AK73" s="120"/>
      <c r="AL73" s="120"/>
      <c r="AM73" s="120"/>
    </row>
    <row r="74" spans="1:41" s="163" customFormat="1" x14ac:dyDescent="0.2">
      <c r="A74" s="25"/>
      <c r="B74" s="11" t="s">
        <v>14</v>
      </c>
      <c r="C74" s="122">
        <f>Produksi!D77</f>
        <v>0</v>
      </c>
      <c r="D74" s="122">
        <f>Produksi!F77</f>
        <v>0</v>
      </c>
      <c r="E74" s="123" t="e">
        <f>#REF!</f>
        <v>#REF!</v>
      </c>
      <c r="F74" s="124" t="e">
        <f>#REF!+#REF!</f>
        <v>#REF!</v>
      </c>
      <c r="G74" s="124"/>
      <c r="H74" s="124" t="e">
        <f t="shared" si="8"/>
        <v>#REF!</v>
      </c>
      <c r="I74" s="124">
        <f>'Pemakaian Dalam Negeri'!E81</f>
        <v>0</v>
      </c>
      <c r="J74" s="125">
        <f>'Pemakaian Dalam Negeri'!F81</f>
        <v>0</v>
      </c>
      <c r="K74" s="124">
        <f>'Pemakaian Dalam Negeri'!G81</f>
        <v>0</v>
      </c>
      <c r="L74" s="124">
        <f>'Pemakaian Dalam Negeri'!H81</f>
        <v>0</v>
      </c>
      <c r="M74" s="124">
        <f>'Pemakaian Dalam Negeri'!I81</f>
        <v>0</v>
      </c>
      <c r="N74" s="124">
        <f>'Pemakaian Dalam Negeri'!J81</f>
        <v>0</v>
      </c>
      <c r="O74" s="124" t="e">
        <f t="shared" si="1"/>
        <v>#REF!</v>
      </c>
      <c r="P74" s="124" t="e">
        <f t="shared" si="2"/>
        <v>#REF!</v>
      </c>
      <c r="Q74" s="126" t="e">
        <f t="shared" si="3"/>
        <v>#REF!</v>
      </c>
      <c r="R74" s="126" t="e">
        <f t="shared" si="7"/>
        <v>#REF!</v>
      </c>
      <c r="S74" s="126" t="e">
        <f t="shared" si="4"/>
        <v>#REF!</v>
      </c>
      <c r="T74" s="126" t="e">
        <f t="shared" si="5"/>
        <v>#REF!</v>
      </c>
      <c r="U74" s="127" t="e">
        <f t="shared" si="6"/>
        <v>#REF!</v>
      </c>
      <c r="AB74" s="42"/>
      <c r="AD74" s="119">
        <v>100</v>
      </c>
      <c r="AE74" s="131">
        <v>77</v>
      </c>
      <c r="AF74" s="131">
        <v>0.7</v>
      </c>
      <c r="AG74" s="131">
        <v>0.6</v>
      </c>
      <c r="AH74" s="120"/>
      <c r="AI74" s="120"/>
      <c r="AJ74" s="120"/>
      <c r="AK74" s="120"/>
      <c r="AL74" s="120"/>
      <c r="AM74" s="120"/>
    </row>
    <row r="75" spans="1:41" ht="14.1" customHeight="1" x14ac:dyDescent="0.2">
      <c r="A75" s="25"/>
      <c r="B75" s="11" t="s">
        <v>15</v>
      </c>
      <c r="C75" s="122">
        <f>Produksi!D78</f>
        <v>23</v>
      </c>
      <c r="D75" s="122">
        <f>Produksi!F78</f>
        <v>23</v>
      </c>
      <c r="E75" s="123" t="e">
        <f>#REF!</f>
        <v>#REF!</v>
      </c>
      <c r="F75" s="124" t="e">
        <f>#REF!+#REF!</f>
        <v>#REF!</v>
      </c>
      <c r="G75" s="124"/>
      <c r="H75" s="124" t="e">
        <f t="shared" si="8"/>
        <v>#REF!</v>
      </c>
      <c r="I75" s="124">
        <f>'Pemakaian Dalam Negeri'!E82</f>
        <v>0</v>
      </c>
      <c r="J75" s="125">
        <f>'Pemakaian Dalam Negeri'!F82</f>
        <v>0</v>
      </c>
      <c r="K75" s="124">
        <f>'Pemakaian Dalam Negeri'!G82</f>
        <v>0</v>
      </c>
      <c r="L75" s="124">
        <f>'Pemakaian Dalam Negeri'!H82</f>
        <v>1.3986000000000001</v>
      </c>
      <c r="M75" s="124">
        <f>'Pemakaian Dalam Negeri'!I82</f>
        <v>0</v>
      </c>
      <c r="N75" s="124">
        <f>'Pemakaian Dalam Negeri'!J82</f>
        <v>124.6014</v>
      </c>
      <c r="O75" s="124" t="e">
        <f t="shared" si="1"/>
        <v>#REF!</v>
      </c>
      <c r="P75" s="124" t="e">
        <f t="shared" si="2"/>
        <v>#REF!</v>
      </c>
      <c r="Q75" s="126" t="e">
        <f t="shared" si="3"/>
        <v>#REF!</v>
      </c>
      <c r="R75" s="126" t="e">
        <f t="shared" si="7"/>
        <v>#REF!</v>
      </c>
      <c r="S75" s="126" t="e">
        <f t="shared" si="4"/>
        <v>#REF!</v>
      </c>
      <c r="T75" s="126" t="e">
        <f t="shared" si="5"/>
        <v>#REF!</v>
      </c>
      <c r="U75" s="127" t="e">
        <f t="shared" si="6"/>
        <v>#REF!</v>
      </c>
      <c r="V75" s="128"/>
      <c r="W75" s="41"/>
      <c r="X75" s="42"/>
      <c r="Y75" s="42"/>
      <c r="Z75" s="42"/>
      <c r="AA75" s="161"/>
      <c r="AB75" s="42"/>
      <c r="AC75" s="149"/>
      <c r="AD75" s="119">
        <v>100</v>
      </c>
      <c r="AE75" s="131">
        <v>51</v>
      </c>
      <c r="AF75" s="131">
        <v>0.78</v>
      </c>
      <c r="AG75" s="131">
        <v>0.38</v>
      </c>
      <c r="AH75" s="120"/>
      <c r="AI75" s="120"/>
      <c r="AJ75" s="120"/>
      <c r="AK75" s="120"/>
      <c r="AL75" s="120"/>
      <c r="AM75" s="120"/>
      <c r="AN75" s="120"/>
      <c r="AO75" s="120"/>
    </row>
    <row r="76" spans="1:41" ht="14.1" customHeight="1" x14ac:dyDescent="0.25">
      <c r="A76" s="26"/>
      <c r="B76" s="27" t="s">
        <v>16</v>
      </c>
      <c r="C76" s="122">
        <f>Produksi!D79</f>
        <v>125</v>
      </c>
      <c r="D76" s="122">
        <f>Produksi!F79</f>
        <v>125</v>
      </c>
      <c r="E76" s="123" t="e">
        <f>#REF!</f>
        <v>#REF!</v>
      </c>
      <c r="F76" s="124" t="e">
        <f>#REF!+#REF!</f>
        <v>#REF!</v>
      </c>
      <c r="G76" s="124"/>
      <c r="H76" s="124" t="e">
        <f t="shared" si="8"/>
        <v>#REF!</v>
      </c>
      <c r="I76" s="124">
        <f>'Pemakaian Dalam Negeri'!E83</f>
        <v>0</v>
      </c>
      <c r="J76" s="125">
        <f>'Pemakaian Dalam Negeri'!F83</f>
        <v>0</v>
      </c>
      <c r="K76" s="124">
        <f>'Pemakaian Dalam Negeri'!G83</f>
        <v>0</v>
      </c>
      <c r="L76" s="124">
        <f>'Pemakaian Dalam Negeri'!H83</f>
        <v>0</v>
      </c>
      <c r="M76" s="124">
        <f>'Pemakaian Dalam Negeri'!I83</f>
        <v>0</v>
      </c>
      <c r="N76" s="124">
        <f>'Pemakaian Dalam Negeri'!J83</f>
        <v>0</v>
      </c>
      <c r="O76" s="124" t="e">
        <f t="shared" si="1"/>
        <v>#REF!</v>
      </c>
      <c r="P76" s="124" t="e">
        <f t="shared" si="2"/>
        <v>#REF!</v>
      </c>
      <c r="Q76" s="126" t="e">
        <f t="shared" si="3"/>
        <v>#REF!</v>
      </c>
      <c r="R76" s="126" t="e">
        <f t="shared" si="7"/>
        <v>#REF!</v>
      </c>
      <c r="S76" s="126" t="e">
        <f t="shared" si="4"/>
        <v>#REF!</v>
      </c>
      <c r="T76" s="126" t="e">
        <f t="shared" si="5"/>
        <v>#REF!</v>
      </c>
      <c r="U76" s="127" t="e">
        <f t="shared" si="6"/>
        <v>#REF!</v>
      </c>
      <c r="V76" s="128"/>
      <c r="W76" s="41"/>
      <c r="X76" s="42"/>
      <c r="Y76" s="42"/>
      <c r="Z76" s="42"/>
      <c r="AA76" s="161"/>
      <c r="AB76" s="164">
        <v>2.1698758722238449</v>
      </c>
      <c r="AC76" s="149"/>
      <c r="AD76" s="119">
        <v>100</v>
      </c>
      <c r="AE76" s="131">
        <v>44</v>
      </c>
      <c r="AF76" s="131">
        <v>0.5</v>
      </c>
      <c r="AG76" s="131">
        <v>0.2</v>
      </c>
      <c r="AH76" s="120">
        <v>0</v>
      </c>
      <c r="AI76" s="120">
        <v>0.01</v>
      </c>
      <c r="AJ76" s="120">
        <v>19.7</v>
      </c>
      <c r="AK76" s="120"/>
      <c r="AL76" s="120"/>
      <c r="AM76" s="120"/>
      <c r="AN76" s="120"/>
      <c r="AO76" s="120"/>
    </row>
    <row r="77" spans="1:41" ht="14.1" customHeight="1" x14ac:dyDescent="0.25">
      <c r="A77" s="26"/>
      <c r="B77" s="27" t="s">
        <v>17</v>
      </c>
      <c r="C77" s="122">
        <f>Produksi!D80</f>
        <v>0</v>
      </c>
      <c r="D77" s="122">
        <f>Produksi!F80</f>
        <v>0</v>
      </c>
      <c r="E77" s="123" t="e">
        <f>#REF!</f>
        <v>#REF!</v>
      </c>
      <c r="F77" s="124" t="e">
        <f>#REF!+#REF!</f>
        <v>#REF!</v>
      </c>
      <c r="G77" s="124"/>
      <c r="H77" s="124" t="e">
        <f t="shared" si="8"/>
        <v>#REF!</v>
      </c>
      <c r="I77" s="124">
        <f>'Pemakaian Dalam Negeri'!E84</f>
        <v>0</v>
      </c>
      <c r="J77" s="125">
        <f>'Pemakaian Dalam Negeri'!F84</f>
        <v>0</v>
      </c>
      <c r="K77" s="124">
        <f>'Pemakaian Dalam Negeri'!G84</f>
        <v>0</v>
      </c>
      <c r="L77" s="124">
        <f>'Pemakaian Dalam Negeri'!H84</f>
        <v>0.87690000000000001</v>
      </c>
      <c r="M77" s="124">
        <f>'Pemakaian Dalam Negeri'!I84</f>
        <v>0</v>
      </c>
      <c r="N77" s="124">
        <f>'Pemakaian Dalam Negeri'!J84</f>
        <v>78.123099999999994</v>
      </c>
      <c r="O77" s="124" t="e">
        <f t="shared" si="1"/>
        <v>#REF!</v>
      </c>
      <c r="P77" s="124" t="e">
        <f t="shared" si="2"/>
        <v>#REF!</v>
      </c>
      <c r="Q77" s="126" t="e">
        <f>O77/$R$4*1000</f>
        <v>#REF!</v>
      </c>
      <c r="R77" s="126" t="e">
        <f t="shared" si="7"/>
        <v>#REF!</v>
      </c>
      <c r="S77" s="126" t="e">
        <f t="shared" si="4"/>
        <v>#REF!</v>
      </c>
      <c r="T77" s="126" t="e">
        <f t="shared" si="5"/>
        <v>#REF!</v>
      </c>
      <c r="U77" s="127" t="e">
        <f t="shared" si="6"/>
        <v>#REF!</v>
      </c>
      <c r="V77" s="128"/>
      <c r="W77" s="41"/>
      <c r="X77" s="42"/>
      <c r="Y77" s="42"/>
      <c r="Z77" s="42"/>
      <c r="AA77" s="41">
        <v>0</v>
      </c>
      <c r="AB77" s="164">
        <v>1.6998194307686727</v>
      </c>
      <c r="AC77" s="149"/>
      <c r="AD77" s="119">
        <v>100</v>
      </c>
      <c r="AE77" s="131">
        <v>83</v>
      </c>
      <c r="AF77" s="131">
        <v>1.7</v>
      </c>
      <c r="AG77" s="131">
        <v>1.2</v>
      </c>
      <c r="AH77" s="120"/>
      <c r="AI77" s="120"/>
      <c r="AJ77" s="120"/>
      <c r="AK77" s="120"/>
      <c r="AL77" s="120"/>
      <c r="AM77" s="120"/>
      <c r="AN77" s="120"/>
      <c r="AO77" s="120"/>
    </row>
    <row r="78" spans="1:41" ht="14.1" customHeight="1" x14ac:dyDescent="0.2">
      <c r="A78" s="25"/>
      <c r="B78" s="11" t="s">
        <v>18</v>
      </c>
      <c r="C78" s="122">
        <f>Produksi!D81</f>
        <v>0</v>
      </c>
      <c r="D78" s="122">
        <f>Produksi!F81</f>
        <v>0</v>
      </c>
      <c r="E78" s="123" t="e">
        <f>#REF!</f>
        <v>#REF!</v>
      </c>
      <c r="F78" s="124" t="e">
        <f>#REF!+#REF!</f>
        <v>#REF!</v>
      </c>
      <c r="G78" s="124"/>
      <c r="H78" s="124" t="e">
        <f t="shared" si="8"/>
        <v>#REF!</v>
      </c>
      <c r="I78" s="124">
        <f>'Pemakaian Dalam Negeri'!E85</f>
        <v>0</v>
      </c>
      <c r="J78" s="125">
        <f>'Pemakaian Dalam Negeri'!F85</f>
        <v>0</v>
      </c>
      <c r="K78" s="124">
        <f>'Pemakaian Dalam Negeri'!G85</f>
        <v>0</v>
      </c>
      <c r="L78" s="124">
        <f>'Pemakaian Dalam Negeri'!H85</f>
        <v>1.3875</v>
      </c>
      <c r="M78" s="124">
        <f>'Pemakaian Dalam Negeri'!I85</f>
        <v>0</v>
      </c>
      <c r="N78" s="124">
        <f>'Pemakaian Dalam Negeri'!J85</f>
        <v>123.6125</v>
      </c>
      <c r="O78" s="124" t="e">
        <f t="shared" ref="O78:O141" si="10">H78-I78-J78-K78-L78-M78-N78</f>
        <v>#REF!</v>
      </c>
      <c r="P78" s="124" t="e">
        <f t="shared" ref="P78:P141" si="11">I78+J78+K78+L78+M78+N78+O78</f>
        <v>#REF!</v>
      </c>
      <c r="Q78" s="126" t="e">
        <f t="shared" si="3"/>
        <v>#REF!</v>
      </c>
      <c r="R78" s="126" t="e">
        <f t="shared" si="7"/>
        <v>#REF!</v>
      </c>
      <c r="S78" s="126" t="e">
        <f t="shared" si="4"/>
        <v>#REF!</v>
      </c>
      <c r="T78" s="126" t="e">
        <f t="shared" si="5"/>
        <v>#REF!</v>
      </c>
      <c r="U78" s="127" t="e">
        <f t="shared" si="6"/>
        <v>#REF!</v>
      </c>
      <c r="V78" s="128"/>
      <c r="W78" s="41">
        <v>100</v>
      </c>
      <c r="X78" s="41">
        <v>0</v>
      </c>
      <c r="Y78" s="41">
        <v>0.24</v>
      </c>
      <c r="Z78" s="41">
        <v>0</v>
      </c>
      <c r="AA78" s="41">
        <v>0</v>
      </c>
      <c r="AB78" s="165">
        <v>2.17</v>
      </c>
      <c r="AC78" s="149">
        <f>W78-X78-Y78-Z78-AA78-AB78</f>
        <v>97.59</v>
      </c>
      <c r="AD78" s="119"/>
      <c r="AE78" s="131"/>
      <c r="AF78" s="131"/>
      <c r="AG78" s="131"/>
      <c r="AH78" s="120"/>
      <c r="AI78" s="120"/>
      <c r="AJ78" s="120"/>
      <c r="AK78" s="120"/>
      <c r="AL78" s="120"/>
      <c r="AM78" s="120"/>
      <c r="AN78" s="120"/>
      <c r="AO78" s="120"/>
    </row>
    <row r="79" spans="1:41" ht="14.1" customHeight="1" x14ac:dyDescent="0.2">
      <c r="A79" s="25"/>
      <c r="B79" s="4"/>
      <c r="C79" s="122">
        <f>Produksi!D82</f>
        <v>0</v>
      </c>
      <c r="D79" s="122">
        <f>Produksi!F82</f>
        <v>0</v>
      </c>
      <c r="E79" s="123" t="e">
        <f>#REF!</f>
        <v>#REF!</v>
      </c>
      <c r="F79" s="124" t="e">
        <f>#REF!+#REF!</f>
        <v>#REF!</v>
      </c>
      <c r="G79" s="124"/>
      <c r="H79" s="124" t="e">
        <f t="shared" si="8"/>
        <v>#REF!</v>
      </c>
      <c r="I79" s="124"/>
      <c r="J79" s="125"/>
      <c r="K79" s="124"/>
      <c r="L79" s="124"/>
      <c r="M79" s="124"/>
      <c r="N79" s="124"/>
      <c r="O79" s="124" t="e">
        <f t="shared" si="10"/>
        <v>#REF!</v>
      </c>
      <c r="P79" s="124" t="e">
        <f t="shared" si="11"/>
        <v>#REF!</v>
      </c>
      <c r="Q79" s="126"/>
      <c r="R79" s="126"/>
      <c r="S79" s="126"/>
      <c r="T79" s="126"/>
      <c r="U79" s="127"/>
      <c r="V79" s="135"/>
      <c r="W79" s="136">
        <v>100</v>
      </c>
      <c r="X79" s="136">
        <v>0</v>
      </c>
      <c r="Y79" s="136">
        <v>0.71</v>
      </c>
      <c r="Z79" s="136">
        <v>0</v>
      </c>
      <c r="AA79" s="151"/>
      <c r="AB79" s="129">
        <v>1.7</v>
      </c>
      <c r="AC79" s="141">
        <f t="shared" ref="AC79:AC100" si="12">W79-X79-Y79-Z79-AA79-AB79</f>
        <v>97.59</v>
      </c>
      <c r="AD79" s="119"/>
      <c r="AE79" s="131"/>
      <c r="AF79" s="131"/>
      <c r="AG79" s="131"/>
      <c r="AH79" s="120"/>
      <c r="AI79" s="120"/>
      <c r="AJ79" s="120"/>
      <c r="AK79" s="120"/>
      <c r="AL79" s="120"/>
      <c r="AM79" s="120"/>
      <c r="AN79" s="120"/>
      <c r="AO79" s="120"/>
    </row>
    <row r="80" spans="1:41" ht="14.1" customHeight="1" thickBot="1" x14ac:dyDescent="0.25">
      <c r="A80" s="12" t="s">
        <v>19</v>
      </c>
      <c r="B80" s="3"/>
      <c r="C80" s="122">
        <f>Produksi!D83</f>
        <v>0</v>
      </c>
      <c r="D80" s="122">
        <f>Produksi!F83</f>
        <v>0</v>
      </c>
      <c r="E80" s="123" t="e">
        <f>#REF!</f>
        <v>#REF!</v>
      </c>
      <c r="F80" s="124" t="e">
        <f>#REF!+#REF!</f>
        <v>#REF!</v>
      </c>
      <c r="G80" s="124"/>
      <c r="H80" s="124" t="e">
        <f t="shared" si="8"/>
        <v>#REF!</v>
      </c>
      <c r="I80" s="124">
        <f>'Pemakaian Dalam Negeri'!E87</f>
        <v>0</v>
      </c>
      <c r="J80" s="125">
        <f>'Pemakaian Dalam Negeri'!F87</f>
        <v>0</v>
      </c>
      <c r="K80" s="124">
        <f>'Pemakaian Dalam Negeri'!G87</f>
        <v>0</v>
      </c>
      <c r="L80" s="124">
        <f>'Pemakaian Dalam Negeri'!H87</f>
        <v>4.2402428956539566</v>
      </c>
      <c r="M80" s="124">
        <f>'Pemakaian Dalam Negeri'!I87</f>
        <v>0</v>
      </c>
      <c r="N80" s="124">
        <f>'Pemakaian Dalam Negeri'!J87</f>
        <v>377.76362157767545</v>
      </c>
      <c r="O80" s="124" t="e">
        <f t="shared" si="10"/>
        <v>#REF!</v>
      </c>
      <c r="P80" s="124" t="e">
        <f t="shared" si="11"/>
        <v>#REF!</v>
      </c>
      <c r="Q80" s="126"/>
      <c r="R80" s="126"/>
      <c r="S80" s="143" t="e">
        <f>SUM(S81:S113)</f>
        <v>#REF!</v>
      </c>
      <c r="T80" s="143" t="e">
        <f>SUM(T81:T113)</f>
        <v>#REF!</v>
      </c>
      <c r="U80" s="143" t="e">
        <f>SUM(U81:U113)</f>
        <v>#REF!</v>
      </c>
      <c r="V80" s="128"/>
      <c r="W80" s="41">
        <v>100</v>
      </c>
      <c r="X80" s="41">
        <v>0</v>
      </c>
      <c r="Y80" s="41">
        <v>0.44</v>
      </c>
      <c r="Z80" s="41">
        <v>0</v>
      </c>
      <c r="AA80" s="41">
        <v>0</v>
      </c>
      <c r="AB80" s="166">
        <v>1.97</v>
      </c>
      <c r="AC80" s="149">
        <f t="shared" si="12"/>
        <v>97.59</v>
      </c>
      <c r="AD80" s="119"/>
      <c r="AE80" s="131"/>
      <c r="AF80" s="131"/>
      <c r="AG80" s="131"/>
      <c r="AH80" s="120"/>
      <c r="AI80" s="120"/>
      <c r="AJ80" s="120"/>
      <c r="AK80" s="120"/>
      <c r="AL80" s="120"/>
      <c r="AM80" s="120"/>
      <c r="AN80" s="120"/>
      <c r="AO80" s="120"/>
    </row>
    <row r="81" spans="1:41" ht="14.1" customHeight="1" x14ac:dyDescent="0.2">
      <c r="A81" s="23"/>
      <c r="B81" s="3" t="s">
        <v>94</v>
      </c>
      <c r="C81" s="122">
        <f>Produksi!D84</f>
        <v>0.6</v>
      </c>
      <c r="D81" s="122">
        <f>Produksi!F84</f>
        <v>0.39504</v>
      </c>
      <c r="E81" s="123" t="e">
        <f>#REF!</f>
        <v>#REF!</v>
      </c>
      <c r="F81" s="124" t="e">
        <f>#REF!+#REF!</f>
        <v>#REF!</v>
      </c>
      <c r="G81" s="124"/>
      <c r="H81" s="124" t="e">
        <f t="shared" si="8"/>
        <v>#REF!</v>
      </c>
      <c r="I81" s="124">
        <f>'Pemakaian Dalam Negeri'!E88</f>
        <v>0</v>
      </c>
      <c r="J81" s="125">
        <f>'Pemakaian Dalam Negeri'!F88</f>
        <v>0</v>
      </c>
      <c r="K81" s="124">
        <f>'Pemakaian Dalam Negeri'!G88</f>
        <v>0</v>
      </c>
      <c r="L81" s="124">
        <f>'Pemakaian Dalam Negeri'!H88</f>
        <v>0</v>
      </c>
      <c r="M81" s="124">
        <f>'Pemakaian Dalam Negeri'!I88</f>
        <v>0</v>
      </c>
      <c r="N81" s="124">
        <f>'Pemakaian Dalam Negeri'!J88</f>
        <v>0</v>
      </c>
      <c r="O81" s="124" t="e">
        <f t="shared" si="10"/>
        <v>#REF!</v>
      </c>
      <c r="P81" s="124" t="e">
        <f t="shared" si="11"/>
        <v>#REF!</v>
      </c>
      <c r="Q81" s="126" t="e">
        <f t="shared" ref="Q81:Q132" si="13">O81/$R$4*1000</f>
        <v>#REF!</v>
      </c>
      <c r="R81" s="126" t="e">
        <f t="shared" ref="R81:R132" si="14">Q81/365*1000</f>
        <v>#REF!</v>
      </c>
      <c r="S81" s="126" t="e">
        <f t="shared" ref="S81:S132" si="15">R81/100*AD81/100*AE81</f>
        <v>#REF!</v>
      </c>
      <c r="T81" s="126" t="e">
        <f t="shared" ref="T81:T132" si="16">R81/100*AD81/100*AF81</f>
        <v>#REF!</v>
      </c>
      <c r="U81" s="127" t="e">
        <f t="shared" ref="U81:U132" si="17">R81/100*AD81/100*AG81</f>
        <v>#REF!</v>
      </c>
      <c r="V81" s="135"/>
      <c r="W81" s="136">
        <v>100</v>
      </c>
      <c r="X81" s="136">
        <v>0</v>
      </c>
      <c r="Y81" s="136">
        <v>1.19</v>
      </c>
      <c r="Z81" s="136">
        <v>0</v>
      </c>
      <c r="AA81" s="136">
        <v>0</v>
      </c>
      <c r="AB81" s="166">
        <v>1.1299999999999999</v>
      </c>
      <c r="AC81" s="141">
        <f t="shared" si="12"/>
        <v>97.68</v>
      </c>
      <c r="AD81" s="119">
        <v>90</v>
      </c>
      <c r="AE81" s="131">
        <v>35.1</v>
      </c>
      <c r="AF81" s="131">
        <v>1.35</v>
      </c>
      <c r="AG81" s="131">
        <v>0.3</v>
      </c>
      <c r="AH81" s="120">
        <v>0</v>
      </c>
      <c r="AI81" s="120">
        <v>0.03</v>
      </c>
      <c r="AJ81" s="120">
        <v>2</v>
      </c>
      <c r="AK81" s="120">
        <v>36</v>
      </c>
      <c r="AL81" s="120">
        <v>40</v>
      </c>
      <c r="AM81" s="120">
        <v>0.8</v>
      </c>
      <c r="AN81" s="120"/>
      <c r="AO81" s="120"/>
    </row>
    <row r="82" spans="1:41" ht="14.1" customHeight="1" x14ac:dyDescent="0.2">
      <c r="A82" s="24"/>
      <c r="B82" s="10" t="s">
        <v>95</v>
      </c>
      <c r="C82" s="122">
        <f>Produksi!D87</f>
        <v>7.4</v>
      </c>
      <c r="D82" s="122">
        <f>Produksi!F87</f>
        <v>7.4</v>
      </c>
      <c r="E82" s="123" t="e">
        <f>#REF!</f>
        <v>#REF!</v>
      </c>
      <c r="F82" s="124" t="e">
        <f>#REF!+#REF!</f>
        <v>#REF!</v>
      </c>
      <c r="G82" s="124"/>
      <c r="H82" s="124" t="e">
        <f t="shared" si="8"/>
        <v>#REF!</v>
      </c>
      <c r="I82" s="124">
        <f>'Pemakaian Dalam Negeri'!E89</f>
        <v>0</v>
      </c>
      <c r="J82" s="125">
        <f>'Pemakaian Dalam Negeri'!F89</f>
        <v>0</v>
      </c>
      <c r="K82" s="124">
        <f>'Pemakaian Dalam Negeri'!G89</f>
        <v>0</v>
      </c>
      <c r="L82" s="124">
        <f>'Pemakaian Dalam Negeri'!H89</f>
        <v>0</v>
      </c>
      <c r="M82" s="124">
        <f>'Pemakaian Dalam Negeri'!I89</f>
        <v>0</v>
      </c>
      <c r="N82" s="124">
        <f>'Pemakaian Dalam Negeri'!J89</f>
        <v>0</v>
      </c>
      <c r="O82" s="124" t="e">
        <f t="shared" si="10"/>
        <v>#REF!</v>
      </c>
      <c r="P82" s="124" t="e">
        <f t="shared" si="11"/>
        <v>#REF!</v>
      </c>
      <c r="Q82" s="126" t="e">
        <f t="shared" si="13"/>
        <v>#REF!</v>
      </c>
      <c r="R82" s="126" t="e">
        <f t="shared" si="14"/>
        <v>#REF!</v>
      </c>
      <c r="S82" s="126" t="e">
        <f t="shared" si="15"/>
        <v>#REF!</v>
      </c>
      <c r="T82" s="126" t="e">
        <f t="shared" si="16"/>
        <v>#REF!</v>
      </c>
      <c r="U82" s="127" t="e">
        <f t="shared" si="17"/>
        <v>#REF!</v>
      </c>
      <c r="V82" s="135"/>
      <c r="W82" s="136">
        <v>100</v>
      </c>
      <c r="X82" s="136">
        <v>0</v>
      </c>
      <c r="Y82" s="136">
        <v>0</v>
      </c>
      <c r="Z82" s="136">
        <v>0</v>
      </c>
      <c r="AA82" s="41">
        <v>0</v>
      </c>
      <c r="AB82" s="166">
        <v>2.41</v>
      </c>
      <c r="AC82" s="141">
        <f t="shared" si="12"/>
        <v>97.59</v>
      </c>
      <c r="AD82" s="119">
        <v>70</v>
      </c>
      <c r="AE82" s="131">
        <v>6.87</v>
      </c>
      <c r="AF82" s="131">
        <v>0.32</v>
      </c>
      <c r="AG82" s="131">
        <v>0.12</v>
      </c>
      <c r="AH82" s="120">
        <v>0</v>
      </c>
      <c r="AI82" s="120">
        <v>0.03</v>
      </c>
      <c r="AJ82" s="120">
        <v>8</v>
      </c>
      <c r="AK82" s="120">
        <v>10</v>
      </c>
      <c r="AL82" s="120">
        <v>21</v>
      </c>
      <c r="AM82" s="120">
        <v>0.3</v>
      </c>
      <c r="AN82" s="120"/>
      <c r="AO82" s="120"/>
    </row>
    <row r="83" spans="1:41" ht="14.1" customHeight="1" x14ac:dyDescent="0.2">
      <c r="A83" s="23"/>
      <c r="B83" s="3" t="s">
        <v>96</v>
      </c>
      <c r="C83" s="122">
        <f>Produksi!D88</f>
        <v>0</v>
      </c>
      <c r="D83" s="122">
        <f>Produksi!F88</f>
        <v>0</v>
      </c>
      <c r="E83" s="123" t="e">
        <f>#REF!</f>
        <v>#REF!</v>
      </c>
      <c r="F83" s="124" t="e">
        <f>#REF!+#REF!</f>
        <v>#REF!</v>
      </c>
      <c r="G83" s="124"/>
      <c r="H83" s="124" t="e">
        <f t="shared" si="8"/>
        <v>#REF!</v>
      </c>
      <c r="I83" s="124">
        <f>'Pemakaian Dalam Negeri'!E90</f>
        <v>0</v>
      </c>
      <c r="J83" s="125">
        <f>'Pemakaian Dalam Negeri'!F90</f>
        <v>0</v>
      </c>
      <c r="K83" s="124">
        <f>'Pemakaian Dalam Negeri'!G90</f>
        <v>0</v>
      </c>
      <c r="L83" s="124">
        <f>'Pemakaian Dalam Negeri'!H90</f>
        <v>31.799072368000004</v>
      </c>
      <c r="M83" s="124">
        <f>'Pemakaian Dalam Negeri'!I90</f>
        <v>0</v>
      </c>
      <c r="N83" s="124">
        <f>'Pemakaian Dalam Negeri'!J90</f>
        <v>1433.5959676320001</v>
      </c>
      <c r="O83" s="124" t="e">
        <f t="shared" si="10"/>
        <v>#REF!</v>
      </c>
      <c r="P83" s="124" t="e">
        <f t="shared" si="11"/>
        <v>#REF!</v>
      </c>
      <c r="Q83" s="126" t="e">
        <f t="shared" si="13"/>
        <v>#REF!</v>
      </c>
      <c r="R83" s="126" t="e">
        <f t="shared" si="14"/>
        <v>#REF!</v>
      </c>
      <c r="S83" s="126" t="e">
        <f t="shared" si="15"/>
        <v>#REF!</v>
      </c>
      <c r="T83" s="126" t="e">
        <f t="shared" si="16"/>
        <v>#REF!</v>
      </c>
      <c r="U83" s="127" t="e">
        <f t="shared" si="17"/>
        <v>#REF!</v>
      </c>
      <c r="V83" s="135"/>
      <c r="W83" s="136">
        <v>100</v>
      </c>
      <c r="X83" s="136">
        <v>0</v>
      </c>
      <c r="Y83" s="136">
        <v>0.71</v>
      </c>
      <c r="Z83" s="136">
        <v>0</v>
      </c>
      <c r="AA83" s="136"/>
      <c r="AB83" s="166">
        <v>1.69</v>
      </c>
      <c r="AC83" s="141">
        <f t="shared" si="12"/>
        <v>97.600000000000009</v>
      </c>
      <c r="AD83" s="119">
        <v>100</v>
      </c>
      <c r="AE83" s="131">
        <v>267</v>
      </c>
      <c r="AF83" s="131">
        <v>13.9</v>
      </c>
      <c r="AG83" s="131">
        <v>2.2999999999999998</v>
      </c>
      <c r="AH83" s="120">
        <v>335</v>
      </c>
      <c r="AI83" s="120">
        <v>0.13</v>
      </c>
      <c r="AJ83" s="120">
        <v>21</v>
      </c>
      <c r="AK83" s="120">
        <v>49</v>
      </c>
      <c r="AL83" s="120">
        <v>347</v>
      </c>
      <c r="AM83" s="120">
        <v>0.7</v>
      </c>
      <c r="AN83" s="120"/>
      <c r="AO83" s="120"/>
    </row>
    <row r="84" spans="1:41" ht="14.1" customHeight="1" x14ac:dyDescent="0.2">
      <c r="A84" s="23"/>
      <c r="B84" s="3" t="s">
        <v>97</v>
      </c>
      <c r="C84" s="122">
        <f>Produksi!D89</f>
        <v>76</v>
      </c>
      <c r="D84" s="122">
        <f>Produksi!F89</f>
        <v>76</v>
      </c>
      <c r="E84" s="123" t="e">
        <f>#REF!</f>
        <v>#REF!</v>
      </c>
      <c r="F84" s="124" t="e">
        <f>#REF!+#REF!</f>
        <v>#REF!</v>
      </c>
      <c r="G84" s="124"/>
      <c r="H84" s="124" t="e">
        <f t="shared" si="8"/>
        <v>#REF!</v>
      </c>
      <c r="I84" s="124">
        <f>'Pemakaian Dalam Negeri'!E93</f>
        <v>0</v>
      </c>
      <c r="J84" s="125">
        <f>'Pemakaian Dalam Negeri'!F93</f>
        <v>5.2540000000000003E-2</v>
      </c>
      <c r="K84" s="124">
        <f>'Pemakaian Dalam Negeri'!G93</f>
        <v>0</v>
      </c>
      <c r="L84" s="124">
        <f>'Pemakaian Dalam Negeri'!H93</f>
        <v>0.12580000000000002</v>
      </c>
      <c r="M84" s="124">
        <f>'Pemakaian Dalam Negeri'!I93</f>
        <v>0</v>
      </c>
      <c r="N84" s="124">
        <f>'Pemakaian Dalam Negeri'!J93</f>
        <v>7.2216600000000009</v>
      </c>
      <c r="O84" s="124" t="e">
        <f t="shared" si="10"/>
        <v>#REF!</v>
      </c>
      <c r="P84" s="124" t="e">
        <f t="shared" si="11"/>
        <v>#REF!</v>
      </c>
      <c r="Q84" s="126" t="e">
        <f t="shared" si="13"/>
        <v>#REF!</v>
      </c>
      <c r="R84" s="126" t="e">
        <f t="shared" si="14"/>
        <v>#REF!</v>
      </c>
      <c r="S84" s="126" t="e">
        <f t="shared" si="15"/>
        <v>#REF!</v>
      </c>
      <c r="T84" s="126" t="e">
        <f t="shared" si="16"/>
        <v>#REF!</v>
      </c>
      <c r="U84" s="127" t="e">
        <f t="shared" si="17"/>
        <v>#REF!</v>
      </c>
      <c r="V84" s="135"/>
      <c r="W84" s="136">
        <v>100</v>
      </c>
      <c r="X84" s="136">
        <v>0</v>
      </c>
      <c r="Y84" s="136">
        <v>0</v>
      </c>
      <c r="Z84" s="136">
        <v>0</v>
      </c>
      <c r="AA84" s="136">
        <v>0</v>
      </c>
      <c r="AB84" s="166">
        <v>2.41</v>
      </c>
      <c r="AC84" s="141">
        <f t="shared" si="12"/>
        <v>97.59</v>
      </c>
      <c r="AD84" s="119">
        <v>75</v>
      </c>
      <c r="AE84" s="131">
        <v>27.6</v>
      </c>
      <c r="AF84" s="131">
        <v>2.76</v>
      </c>
      <c r="AG84" s="131">
        <v>0.46</v>
      </c>
      <c r="AH84" s="120"/>
      <c r="AI84" s="120"/>
      <c r="AJ84" s="120"/>
      <c r="AK84" s="120"/>
      <c r="AL84" s="120"/>
      <c r="AM84" s="120"/>
      <c r="AN84" s="120"/>
      <c r="AO84" s="120"/>
    </row>
    <row r="85" spans="1:41" s="163" customFormat="1" x14ac:dyDescent="0.2">
      <c r="A85" s="24"/>
      <c r="B85" s="4" t="s">
        <v>98</v>
      </c>
      <c r="C85" s="122">
        <f>Produksi!D90</f>
        <v>0</v>
      </c>
      <c r="D85" s="122">
        <f>Produksi!F90</f>
        <v>0</v>
      </c>
      <c r="E85" s="123" t="e">
        <f>#REF!</f>
        <v>#REF!</v>
      </c>
      <c r="F85" s="124" t="e">
        <f>#REF!+#REF!</f>
        <v>#REF!</v>
      </c>
      <c r="G85" s="124"/>
      <c r="H85" s="124" t="e">
        <f t="shared" si="8"/>
        <v>#REF!</v>
      </c>
      <c r="I85" s="124">
        <f>'Pemakaian Dalam Negeri'!E94</f>
        <v>0</v>
      </c>
      <c r="J85" s="125">
        <f>'Pemakaian Dalam Negeri'!F94</f>
        <v>3.6736</v>
      </c>
      <c r="K85" s="124">
        <f>'Pemakaian Dalam Negeri'!G94</f>
        <v>0</v>
      </c>
      <c r="L85" s="124">
        <f>'Pemakaian Dalam Negeri'!H94</f>
        <v>2.5600000000000001E-2</v>
      </c>
      <c r="M85" s="124">
        <f>'Pemakaian Dalam Negeri'!I94</f>
        <v>0</v>
      </c>
      <c r="N85" s="124">
        <f>'Pemakaian Dalam Negeri'!J94</f>
        <v>124.30080000000001</v>
      </c>
      <c r="O85" s="124" t="e">
        <f t="shared" si="10"/>
        <v>#REF!</v>
      </c>
      <c r="P85" s="124" t="e">
        <f t="shared" si="11"/>
        <v>#REF!</v>
      </c>
      <c r="Q85" s="126" t="e">
        <f t="shared" si="13"/>
        <v>#REF!</v>
      </c>
      <c r="R85" s="126" t="e">
        <f t="shared" si="14"/>
        <v>#REF!</v>
      </c>
      <c r="S85" s="126" t="e">
        <f t="shared" si="15"/>
        <v>#REF!</v>
      </c>
      <c r="T85" s="126" t="e">
        <f t="shared" si="16"/>
        <v>#REF!</v>
      </c>
      <c r="U85" s="127" t="e">
        <f t="shared" si="17"/>
        <v>#REF!</v>
      </c>
      <c r="W85" s="136">
        <v>100</v>
      </c>
      <c r="X85" s="136">
        <v>0</v>
      </c>
      <c r="Y85" s="136">
        <v>0.71</v>
      </c>
      <c r="Z85" s="136">
        <v>0</v>
      </c>
      <c r="AA85" s="41">
        <v>0</v>
      </c>
      <c r="AB85" s="166">
        <v>1.55</v>
      </c>
      <c r="AC85" s="141">
        <f t="shared" si="12"/>
        <v>97.740000000000009</v>
      </c>
      <c r="AD85" s="119">
        <v>85</v>
      </c>
      <c r="AE85" s="131">
        <v>52.08</v>
      </c>
      <c r="AF85" s="131">
        <v>1.76</v>
      </c>
      <c r="AG85" s="131">
        <v>0.17</v>
      </c>
      <c r="AH85" s="120">
        <v>0</v>
      </c>
      <c r="AI85" s="120">
        <v>0.11</v>
      </c>
      <c r="AJ85" s="120">
        <v>17</v>
      </c>
      <c r="AK85" s="120">
        <v>11</v>
      </c>
      <c r="AL85" s="120">
        <v>56</v>
      </c>
      <c r="AM85" s="120">
        <v>0.7</v>
      </c>
    </row>
    <row r="86" spans="1:41" s="163" customFormat="1" x14ac:dyDescent="0.2">
      <c r="A86" s="24"/>
      <c r="B86" s="10" t="s">
        <v>99</v>
      </c>
      <c r="C86" s="122">
        <f>Produksi!D91</f>
        <v>0</v>
      </c>
      <c r="D86" s="122">
        <f>Produksi!F91</f>
        <v>0</v>
      </c>
      <c r="E86" s="123" t="e">
        <f>#REF!</f>
        <v>#REF!</v>
      </c>
      <c r="F86" s="124" t="e">
        <f>#REF!+#REF!</f>
        <v>#REF!</v>
      </c>
      <c r="G86" s="124"/>
      <c r="H86" s="124" t="e">
        <f t="shared" si="8"/>
        <v>#REF!</v>
      </c>
      <c r="I86" s="124">
        <f>'Pemakaian Dalam Negeri'!E95</f>
        <v>0</v>
      </c>
      <c r="J86" s="125">
        <f>'Pemakaian Dalam Negeri'!F95</f>
        <v>2.330349157789279</v>
      </c>
      <c r="K86" s="124">
        <f>'Pemakaian Dalam Negeri'!G95</f>
        <v>0</v>
      </c>
      <c r="L86" s="124">
        <f>'Pemakaian Dalam Negeri'!H95</f>
        <v>10.433608729192906</v>
      </c>
      <c r="M86" s="124">
        <f>'Pemakaian Dalam Negeri'!I95</f>
        <v>0</v>
      </c>
      <c r="N86" s="124">
        <f>'Pemakaian Dalam Negeri'!J95</f>
        <v>516.86085070149022</v>
      </c>
      <c r="O86" s="124" t="e">
        <f t="shared" si="10"/>
        <v>#REF!</v>
      </c>
      <c r="P86" s="124" t="e">
        <f t="shared" si="11"/>
        <v>#REF!</v>
      </c>
      <c r="Q86" s="126" t="e">
        <f t="shared" si="13"/>
        <v>#REF!</v>
      </c>
      <c r="R86" s="126" t="e">
        <f t="shared" si="14"/>
        <v>#REF!</v>
      </c>
      <c r="S86" s="126" t="e">
        <f t="shared" si="15"/>
        <v>#REF!</v>
      </c>
      <c r="T86" s="126" t="e">
        <f t="shared" si="16"/>
        <v>#REF!</v>
      </c>
      <c r="U86" s="127" t="e">
        <f t="shared" si="17"/>
        <v>#REF!</v>
      </c>
      <c r="W86" s="136">
        <v>100</v>
      </c>
      <c r="X86" s="136">
        <v>0</v>
      </c>
      <c r="Y86" s="136">
        <v>0.71</v>
      </c>
      <c r="Z86" s="136">
        <v>0</v>
      </c>
      <c r="AA86" s="41">
        <v>0</v>
      </c>
      <c r="AB86" s="129">
        <v>1.55</v>
      </c>
      <c r="AC86" s="141">
        <f t="shared" si="12"/>
        <v>97.740000000000009</v>
      </c>
      <c r="AD86" s="119">
        <v>75</v>
      </c>
      <c r="AE86" s="131">
        <v>18</v>
      </c>
      <c r="AF86" s="131">
        <v>1.05</v>
      </c>
      <c r="AG86" s="131">
        <v>0.15</v>
      </c>
      <c r="AH86" s="120">
        <v>80</v>
      </c>
      <c r="AI86" s="120">
        <v>0.06</v>
      </c>
      <c r="AJ86" s="120">
        <v>50</v>
      </c>
      <c r="AK86" s="120">
        <v>46</v>
      </c>
      <c r="AL86" s="120">
        <v>31</v>
      </c>
      <c r="AM86" s="120">
        <v>0.5</v>
      </c>
    </row>
    <row r="87" spans="1:41" s="163" customFormat="1" ht="13.9" customHeight="1" x14ac:dyDescent="0.2">
      <c r="A87" s="24"/>
      <c r="B87" s="10" t="s">
        <v>100</v>
      </c>
      <c r="C87" s="122">
        <f>Produksi!D92</f>
        <v>0</v>
      </c>
      <c r="D87" s="122">
        <f>Produksi!F92</f>
        <v>0</v>
      </c>
      <c r="E87" s="123" t="e">
        <f>#REF!</f>
        <v>#REF!</v>
      </c>
      <c r="F87" s="124" t="e">
        <f>#REF!+#REF!</f>
        <v>#REF!</v>
      </c>
      <c r="G87" s="124"/>
      <c r="H87" s="124" t="e">
        <f t="shared" si="8"/>
        <v>#REF!</v>
      </c>
      <c r="I87" s="124">
        <f>'Pemakaian Dalam Negeri'!E96</f>
        <v>0</v>
      </c>
      <c r="J87" s="125">
        <f>'Pemakaian Dalam Negeri'!F96</f>
        <v>20.765499999999999</v>
      </c>
      <c r="K87" s="124">
        <f>'Pemakaian Dalam Negeri'!G96</f>
        <v>0</v>
      </c>
      <c r="L87" s="124">
        <f>'Pemakaian Dalam Negeri'!H96</f>
        <v>19.718499999999999</v>
      </c>
      <c r="M87" s="124">
        <f>'Pemakaian Dalam Negeri'!I96</f>
        <v>0</v>
      </c>
      <c r="N87" s="124">
        <f>'Pemakaian Dalam Negeri'!J96</f>
        <v>1704.5160000000001</v>
      </c>
      <c r="O87" s="124" t="e">
        <f t="shared" si="10"/>
        <v>#REF!</v>
      </c>
      <c r="P87" s="124" t="e">
        <f t="shared" si="11"/>
        <v>#REF!</v>
      </c>
      <c r="Q87" s="126" t="e">
        <f t="shared" si="13"/>
        <v>#REF!</v>
      </c>
      <c r="R87" s="126" t="e">
        <f t="shared" si="14"/>
        <v>#REF!</v>
      </c>
      <c r="S87" s="126" t="e">
        <f t="shared" si="15"/>
        <v>#REF!</v>
      </c>
      <c r="T87" s="126" t="e">
        <f t="shared" si="16"/>
        <v>#REF!</v>
      </c>
      <c r="U87" s="127" t="e">
        <f t="shared" si="17"/>
        <v>#REF!</v>
      </c>
      <c r="W87" s="136">
        <v>100</v>
      </c>
      <c r="X87" s="136">
        <v>0</v>
      </c>
      <c r="Y87" s="136">
        <v>0.71</v>
      </c>
      <c r="Z87" s="136">
        <v>0</v>
      </c>
      <c r="AA87" s="41">
        <v>0</v>
      </c>
      <c r="AB87" s="166">
        <v>1.7099828657027953</v>
      </c>
      <c r="AC87" s="141">
        <f t="shared" si="12"/>
        <v>97.580017134297208</v>
      </c>
      <c r="AD87" s="119">
        <v>95</v>
      </c>
      <c r="AE87" s="131">
        <v>19</v>
      </c>
      <c r="AF87" s="131">
        <v>0.95</v>
      </c>
      <c r="AG87" s="131">
        <v>0.3</v>
      </c>
      <c r="AH87" s="120">
        <v>1500</v>
      </c>
      <c r="AI87" s="120">
        <v>0.06</v>
      </c>
      <c r="AJ87" s="120">
        <v>40</v>
      </c>
      <c r="AK87" s="120">
        <v>5</v>
      </c>
      <c r="AL87" s="120">
        <v>27</v>
      </c>
      <c r="AM87" s="120">
        <v>0.5</v>
      </c>
    </row>
    <row r="88" spans="1:41" ht="14.1" customHeight="1" x14ac:dyDescent="0.2">
      <c r="A88" s="24"/>
      <c r="B88" s="10" t="s">
        <v>101</v>
      </c>
      <c r="C88" s="122">
        <f>Produksi!D93</f>
        <v>0</v>
      </c>
      <c r="D88" s="122">
        <f>Produksi!F93</f>
        <v>0</v>
      </c>
      <c r="E88" s="123" t="e">
        <f>#REF!</f>
        <v>#REF!</v>
      </c>
      <c r="F88" s="124" t="e">
        <f>#REF!+#REF!</f>
        <v>#REF!</v>
      </c>
      <c r="G88" s="124"/>
      <c r="H88" s="124" t="e">
        <f t="shared" si="8"/>
        <v>#REF!</v>
      </c>
      <c r="I88" s="124">
        <f>'Pemakaian Dalam Negeri'!E97</f>
        <v>0</v>
      </c>
      <c r="J88" s="125">
        <f>'Pemakaian Dalam Negeri'!F97</f>
        <v>0</v>
      </c>
      <c r="K88" s="124">
        <f>'Pemakaian Dalam Negeri'!G97</f>
        <v>0</v>
      </c>
      <c r="L88" s="124">
        <f>'Pemakaian Dalam Negeri'!H97</f>
        <v>11.26364143236451</v>
      </c>
      <c r="M88" s="124">
        <f>'Pemakaian Dalam Negeri'!I97</f>
        <v>0</v>
      </c>
      <c r="N88" s="124">
        <f>'Pemakaian Dalam Negeri'!J97</f>
        <v>456.10737235869402</v>
      </c>
      <c r="O88" s="124" t="e">
        <f t="shared" si="10"/>
        <v>#REF!</v>
      </c>
      <c r="P88" s="124" t="e">
        <f t="shared" si="11"/>
        <v>#REF!</v>
      </c>
      <c r="Q88" s="126" t="e">
        <f t="shared" si="13"/>
        <v>#REF!</v>
      </c>
      <c r="R88" s="126" t="e">
        <f t="shared" si="14"/>
        <v>#REF!</v>
      </c>
      <c r="S88" s="126" t="e">
        <f t="shared" si="15"/>
        <v>#REF!</v>
      </c>
      <c r="T88" s="126" t="e">
        <f t="shared" si="16"/>
        <v>#REF!</v>
      </c>
      <c r="U88" s="127" t="e">
        <f t="shared" si="17"/>
        <v>#REF!</v>
      </c>
      <c r="V88" s="135"/>
      <c r="W88" s="136">
        <v>100</v>
      </c>
      <c r="X88" s="136">
        <v>0</v>
      </c>
      <c r="Y88" s="136">
        <v>0.73</v>
      </c>
      <c r="Z88" s="136">
        <v>0</v>
      </c>
      <c r="AA88" s="151"/>
      <c r="AB88" s="166">
        <v>1.68</v>
      </c>
      <c r="AC88" s="141">
        <f t="shared" si="12"/>
        <v>97.589999999999989</v>
      </c>
      <c r="AD88" s="119">
        <v>88</v>
      </c>
      <c r="AE88" s="131">
        <v>28.8</v>
      </c>
      <c r="AF88" s="131">
        <v>0.8</v>
      </c>
      <c r="AG88" s="131">
        <v>0.48</v>
      </c>
      <c r="AH88" s="120">
        <v>12000</v>
      </c>
      <c r="AI88" s="120">
        <v>0.06</v>
      </c>
      <c r="AJ88" s="120">
        <v>6</v>
      </c>
      <c r="AK88" s="120">
        <v>39</v>
      </c>
      <c r="AL88" s="120">
        <v>37</v>
      </c>
      <c r="AM88" s="120">
        <v>0.8</v>
      </c>
      <c r="AN88" s="120"/>
      <c r="AO88" s="120"/>
    </row>
    <row r="89" spans="1:41" ht="14.1" customHeight="1" x14ac:dyDescent="0.2">
      <c r="A89" s="24"/>
      <c r="B89" s="14" t="s">
        <v>166</v>
      </c>
      <c r="C89" s="122">
        <f>Produksi!D94</f>
        <v>78.400000000000006</v>
      </c>
      <c r="D89" s="122">
        <f>Produksi!F94</f>
        <v>78.400000000000006</v>
      </c>
      <c r="E89" s="123" t="e">
        <f>#REF!</f>
        <v>#REF!</v>
      </c>
      <c r="F89" s="124" t="e">
        <f>#REF!+#REF!</f>
        <v>#REF!</v>
      </c>
      <c r="G89" s="124"/>
      <c r="H89" s="124" t="e">
        <f t="shared" ref="H89:H152" si="18">D89-E89+F89-G89</f>
        <v>#REF!</v>
      </c>
      <c r="I89" s="124">
        <f>'Pemakaian Dalam Negeri'!E98</f>
        <v>0</v>
      </c>
      <c r="J89" s="125">
        <f>'Pemakaian Dalam Negeri'!F98</f>
        <v>9.4359000000000002</v>
      </c>
      <c r="K89" s="124">
        <f>'Pemakaian Dalam Negeri'!G98</f>
        <v>0</v>
      </c>
      <c r="L89" s="124">
        <f>'Pemakaian Dalam Negeri'!H98</f>
        <v>22.460099999999997</v>
      </c>
      <c r="M89" s="124">
        <f>'Pemakaian Dalam Negeri'!I98</f>
        <v>0</v>
      </c>
      <c r="N89" s="124">
        <f>'Pemakaian Dalam Negeri'!J98</f>
        <v>1297.104</v>
      </c>
      <c r="O89" s="124" t="e">
        <f t="shared" si="10"/>
        <v>#REF!</v>
      </c>
      <c r="P89" s="124" t="e">
        <f t="shared" si="11"/>
        <v>#REF!</v>
      </c>
      <c r="Q89" s="126" t="e">
        <f t="shared" si="13"/>
        <v>#REF!</v>
      </c>
      <c r="R89" s="126" t="e">
        <f t="shared" si="14"/>
        <v>#REF!</v>
      </c>
      <c r="S89" s="126" t="e">
        <f t="shared" si="15"/>
        <v>#REF!</v>
      </c>
      <c r="T89" s="126" t="e">
        <f t="shared" si="16"/>
        <v>#REF!</v>
      </c>
      <c r="U89" s="127" t="e">
        <f t="shared" si="17"/>
        <v>#REF!</v>
      </c>
      <c r="V89" s="128"/>
      <c r="W89" s="41">
        <v>100</v>
      </c>
      <c r="X89" s="41">
        <v>0</v>
      </c>
      <c r="Y89" s="41">
        <v>0</v>
      </c>
      <c r="Z89" s="41">
        <v>0</v>
      </c>
      <c r="AA89" s="136">
        <v>0</v>
      </c>
      <c r="AB89" s="166">
        <v>2.41</v>
      </c>
      <c r="AC89" s="149">
        <f t="shared" si="12"/>
        <v>97.59</v>
      </c>
      <c r="AD89" s="119">
        <v>85</v>
      </c>
      <c r="AE89" s="131">
        <v>31</v>
      </c>
      <c r="AF89" s="131">
        <v>1</v>
      </c>
      <c r="AG89" s="131">
        <v>0.4</v>
      </c>
      <c r="AH89" s="120"/>
      <c r="AI89" s="120"/>
      <c r="AJ89" s="120"/>
      <c r="AK89" s="120"/>
      <c r="AL89" s="120"/>
      <c r="AM89" s="120"/>
      <c r="AN89" s="120"/>
      <c r="AO89" s="120"/>
    </row>
    <row r="90" spans="1:41" ht="14.1" customHeight="1" x14ac:dyDescent="0.2">
      <c r="A90" s="24"/>
      <c r="B90" s="14" t="s">
        <v>20</v>
      </c>
      <c r="C90" s="122">
        <f>Produksi!D95</f>
        <v>60.7</v>
      </c>
      <c r="D90" s="122">
        <f>Produksi!F95</f>
        <v>60.7</v>
      </c>
      <c r="E90" s="123" t="e">
        <f>#REF!</f>
        <v>#REF!</v>
      </c>
      <c r="F90" s="124" t="e">
        <f>#REF!+#REF!</f>
        <v>#REF!</v>
      </c>
      <c r="G90" s="124"/>
      <c r="H90" s="124" t="e">
        <f t="shared" si="18"/>
        <v>#REF!</v>
      </c>
      <c r="I90" s="124">
        <f>'Pemakaian Dalam Negeri'!E99</f>
        <v>0</v>
      </c>
      <c r="J90" s="125">
        <f>'Pemakaian Dalam Negeri'!F99</f>
        <v>0</v>
      </c>
      <c r="K90" s="124">
        <f>'Pemakaian Dalam Negeri'!G99</f>
        <v>0</v>
      </c>
      <c r="L90" s="124">
        <f>'Pemakaian Dalam Negeri'!H99</f>
        <v>10.624633071320886</v>
      </c>
      <c r="M90" s="124">
        <f>'Pemakaian Dalam Negeri'!I99</f>
        <v>0</v>
      </c>
      <c r="N90" s="124">
        <f>'Pemakaian Dalam Negeri'!J99</f>
        <v>430.23151096689014</v>
      </c>
      <c r="O90" s="124" t="e">
        <f t="shared" si="10"/>
        <v>#REF!</v>
      </c>
      <c r="P90" s="124" t="e">
        <f t="shared" si="11"/>
        <v>#REF!</v>
      </c>
      <c r="Q90" s="126" t="e">
        <f t="shared" si="13"/>
        <v>#REF!</v>
      </c>
      <c r="R90" s="126" t="e">
        <f t="shared" si="14"/>
        <v>#REF!</v>
      </c>
      <c r="S90" s="126" t="e">
        <f t="shared" si="15"/>
        <v>#REF!</v>
      </c>
      <c r="T90" s="126" t="e">
        <f t="shared" si="16"/>
        <v>#REF!</v>
      </c>
      <c r="U90" s="127" t="e">
        <f t="shared" si="17"/>
        <v>#REF!</v>
      </c>
      <c r="V90" s="135"/>
      <c r="W90" s="136">
        <v>100</v>
      </c>
      <c r="X90" s="136">
        <v>0</v>
      </c>
      <c r="Y90" s="136">
        <v>0.7</v>
      </c>
      <c r="Z90" s="136">
        <v>0</v>
      </c>
      <c r="AA90" s="136">
        <v>0</v>
      </c>
      <c r="AB90" s="166">
        <v>1.71</v>
      </c>
      <c r="AC90" s="141">
        <f t="shared" si="12"/>
        <v>97.59</v>
      </c>
      <c r="AD90" s="119">
        <v>85</v>
      </c>
      <c r="AE90" s="131">
        <v>120</v>
      </c>
      <c r="AF90" s="131">
        <v>5</v>
      </c>
      <c r="AG90" s="131">
        <v>2</v>
      </c>
      <c r="AH90" s="120"/>
      <c r="AI90" s="120"/>
      <c r="AJ90" s="120"/>
      <c r="AK90" s="120"/>
      <c r="AL90" s="120"/>
      <c r="AM90" s="120"/>
      <c r="AN90" s="120"/>
      <c r="AO90" s="120"/>
    </row>
    <row r="91" spans="1:41" ht="14.1" customHeight="1" x14ac:dyDescent="0.2">
      <c r="A91" s="24"/>
      <c r="B91" s="10" t="s">
        <v>102</v>
      </c>
      <c r="C91" s="122">
        <f>Produksi!D96</f>
        <v>41.8</v>
      </c>
      <c r="D91" s="122">
        <f>Produksi!F96</f>
        <v>41.8</v>
      </c>
      <c r="E91" s="123" t="e">
        <f>#REF!</f>
        <v>#REF!</v>
      </c>
      <c r="F91" s="124" t="e">
        <f>#REF!+#REF!</f>
        <v>#REF!</v>
      </c>
      <c r="G91" s="124"/>
      <c r="H91" s="124" t="e">
        <f t="shared" si="18"/>
        <v>#REF!</v>
      </c>
      <c r="I91" s="124">
        <f>'Pemakaian Dalam Negeri'!E100</f>
        <v>0</v>
      </c>
      <c r="J91" s="125">
        <f>'Pemakaian Dalam Negeri'!F100</f>
        <v>17.73864</v>
      </c>
      <c r="K91" s="124">
        <f>'Pemakaian Dalam Negeri'!G100</f>
        <v>0</v>
      </c>
      <c r="L91" s="124">
        <f>'Pemakaian Dalam Negeri'!H100</f>
        <v>38.725200000000001</v>
      </c>
      <c r="M91" s="124">
        <f>'Pemakaian Dalam Negeri'!I100</f>
        <v>0</v>
      </c>
      <c r="N91" s="124">
        <f>'Pemakaian Dalam Negeri'!J100</f>
        <v>2441.9361600000002</v>
      </c>
      <c r="O91" s="124" t="e">
        <f t="shared" si="10"/>
        <v>#REF!</v>
      </c>
      <c r="P91" s="124" t="e">
        <f t="shared" si="11"/>
        <v>#REF!</v>
      </c>
      <c r="Q91" s="126" t="e">
        <f t="shared" si="13"/>
        <v>#REF!</v>
      </c>
      <c r="R91" s="126" t="e">
        <f t="shared" si="14"/>
        <v>#REF!</v>
      </c>
      <c r="S91" s="126" t="e">
        <f t="shared" si="15"/>
        <v>#REF!</v>
      </c>
      <c r="T91" s="126" t="e">
        <f t="shared" si="16"/>
        <v>#REF!</v>
      </c>
      <c r="U91" s="127" t="e">
        <f t="shared" si="17"/>
        <v>#REF!</v>
      </c>
      <c r="V91" s="135"/>
      <c r="W91" s="136">
        <v>100</v>
      </c>
      <c r="X91" s="136">
        <v>0</v>
      </c>
      <c r="Y91" s="136">
        <v>0.57999999999999996</v>
      </c>
      <c r="Z91" s="136">
        <v>0</v>
      </c>
      <c r="AA91" s="136">
        <v>0</v>
      </c>
      <c r="AB91" s="166">
        <v>1.83</v>
      </c>
      <c r="AC91" s="141">
        <f t="shared" si="12"/>
        <v>97.59</v>
      </c>
      <c r="AD91" s="119">
        <v>87</v>
      </c>
      <c r="AE91" s="167">
        <v>37.31</v>
      </c>
      <c r="AF91" s="167">
        <v>1.532</v>
      </c>
      <c r="AG91" s="168">
        <v>0.59</v>
      </c>
      <c r="AH91" s="120">
        <v>30</v>
      </c>
      <c r="AI91" s="120">
        <v>0.04</v>
      </c>
      <c r="AJ91" s="120">
        <v>5</v>
      </c>
      <c r="AK91" s="120">
        <v>15</v>
      </c>
      <c r="AL91" s="120">
        <v>37</v>
      </c>
      <c r="AM91" s="120">
        <v>0.4</v>
      </c>
      <c r="AN91" s="120"/>
      <c r="AO91" s="120"/>
    </row>
    <row r="92" spans="1:41" ht="14.1" customHeight="1" x14ac:dyDescent="0.2">
      <c r="A92" s="23"/>
      <c r="B92" s="13" t="s">
        <v>103</v>
      </c>
      <c r="C92" s="122">
        <f>Produksi!D97</f>
        <v>0</v>
      </c>
      <c r="D92" s="122">
        <f>Produksi!F97</f>
        <v>0</v>
      </c>
      <c r="E92" s="123" t="e">
        <f>#REF!</f>
        <v>#REF!</v>
      </c>
      <c r="F92" s="124" t="e">
        <f>#REF!+#REF!</f>
        <v>#REF!</v>
      </c>
      <c r="G92" s="124"/>
      <c r="H92" s="124" t="e">
        <f t="shared" si="18"/>
        <v>#REF!</v>
      </c>
      <c r="I92" s="124">
        <f>'Pemakaian Dalam Negeri'!E101</f>
        <v>0</v>
      </c>
      <c r="J92" s="125">
        <f>'Pemakaian Dalam Negeri'!F101</f>
        <v>4.0732699999999999</v>
      </c>
      <c r="K92" s="124">
        <f>'Pemakaian Dalam Negeri'!G101</f>
        <v>0</v>
      </c>
      <c r="L92" s="124">
        <f>'Pemakaian Dalam Negeri'!H101</f>
        <v>9.8101717005369373</v>
      </c>
      <c r="M92" s="124">
        <f>'Pemakaian Dalam Negeri'!I101</f>
        <v>0</v>
      </c>
      <c r="N92" s="124">
        <f>'Pemakaian Dalam Negeri'!J101</f>
        <v>559.81655829946317</v>
      </c>
      <c r="O92" s="124" t="e">
        <f t="shared" si="10"/>
        <v>#REF!</v>
      </c>
      <c r="P92" s="124" t="e">
        <f t="shared" si="11"/>
        <v>#REF!</v>
      </c>
      <c r="Q92" s="126" t="e">
        <f t="shared" si="13"/>
        <v>#REF!</v>
      </c>
      <c r="R92" s="126" t="e">
        <f t="shared" si="14"/>
        <v>#REF!</v>
      </c>
      <c r="S92" s="126" t="e">
        <f t="shared" si="15"/>
        <v>#REF!</v>
      </c>
      <c r="T92" s="126" t="e">
        <f t="shared" si="16"/>
        <v>#REF!</v>
      </c>
      <c r="U92" s="127" t="e">
        <f t="shared" si="17"/>
        <v>#REF!</v>
      </c>
      <c r="V92" s="135"/>
      <c r="W92" s="136">
        <v>100</v>
      </c>
      <c r="X92" s="136">
        <v>0</v>
      </c>
      <c r="Y92" s="136">
        <v>0.39</v>
      </c>
      <c r="Z92" s="136">
        <v>0</v>
      </c>
      <c r="AA92" s="136">
        <v>0</v>
      </c>
      <c r="AB92" s="169">
        <v>2.02</v>
      </c>
      <c r="AC92" s="141">
        <f t="shared" si="12"/>
        <v>97.59</v>
      </c>
      <c r="AD92" s="119">
        <v>87</v>
      </c>
      <c r="AE92" s="131">
        <v>6.6</v>
      </c>
      <c r="AF92" s="131">
        <v>0.63</v>
      </c>
      <c r="AG92" s="131">
        <v>0.15</v>
      </c>
      <c r="AH92" s="120">
        <v>6460</v>
      </c>
      <c r="AI92" s="120">
        <v>0.09</v>
      </c>
      <c r="AJ92" s="120">
        <v>102</v>
      </c>
      <c r="AK92" s="120">
        <v>220</v>
      </c>
      <c r="AL92" s="120">
        <v>38</v>
      </c>
      <c r="AM92" s="120">
        <v>2.9</v>
      </c>
      <c r="AN92" s="120"/>
      <c r="AO92" s="120"/>
    </row>
    <row r="93" spans="1:41" ht="14.1" customHeight="1" x14ac:dyDescent="0.2">
      <c r="A93" s="24"/>
      <c r="B93" s="10" t="s">
        <v>104</v>
      </c>
      <c r="C93" s="122">
        <f>Produksi!D98</f>
        <v>0</v>
      </c>
      <c r="D93" s="122">
        <f>Produksi!F98</f>
        <v>0</v>
      </c>
      <c r="E93" s="123" t="e">
        <f>#REF!</f>
        <v>#REF!</v>
      </c>
      <c r="F93" s="124" t="e">
        <f>#REF!+#REF!</f>
        <v>#REF!</v>
      </c>
      <c r="G93" s="124"/>
      <c r="H93" s="124" t="e">
        <f t="shared" si="18"/>
        <v>#REF!</v>
      </c>
      <c r="I93" s="124">
        <f>'Pemakaian Dalam Negeri'!E102</f>
        <v>0</v>
      </c>
      <c r="J93" s="125">
        <f>'Pemakaian Dalam Negeri'!F102</f>
        <v>7.9204911519270631</v>
      </c>
      <c r="K93" s="124">
        <f>'Pemakaian Dalam Negeri'!G102</f>
        <v>0</v>
      </c>
      <c r="L93" s="124">
        <f>'Pemakaian Dalam Negeri'!H102</f>
        <v>18.227979637311595</v>
      </c>
      <c r="M93" s="124">
        <f>'Pemakaian Dalam Negeri'!I102</f>
        <v>0</v>
      </c>
      <c r="N93" s="124">
        <f>'Pemakaian Dalam Negeri'!J102</f>
        <v>1058.8503171459754</v>
      </c>
      <c r="O93" s="124" t="e">
        <f t="shared" si="10"/>
        <v>#REF!</v>
      </c>
      <c r="P93" s="124" t="e">
        <f t="shared" si="11"/>
        <v>#REF!</v>
      </c>
      <c r="Q93" s="126" t="e">
        <f t="shared" si="13"/>
        <v>#REF!</v>
      </c>
      <c r="R93" s="126" t="e">
        <f t="shared" si="14"/>
        <v>#REF!</v>
      </c>
      <c r="S93" s="126" t="e">
        <f t="shared" si="15"/>
        <v>#REF!</v>
      </c>
      <c r="T93" s="126" t="e">
        <f t="shared" si="16"/>
        <v>#REF!</v>
      </c>
      <c r="U93" s="127" t="e">
        <f t="shared" si="17"/>
        <v>#REF!</v>
      </c>
      <c r="V93" s="135"/>
      <c r="W93" s="136">
        <v>100</v>
      </c>
      <c r="X93" s="136">
        <v>0</v>
      </c>
      <c r="Y93" s="136">
        <v>0.43</v>
      </c>
      <c r="Z93" s="136">
        <v>0</v>
      </c>
      <c r="AA93" s="136">
        <v>0</v>
      </c>
      <c r="AB93" s="166">
        <v>1.98</v>
      </c>
      <c r="AC93" s="141">
        <f t="shared" si="12"/>
        <v>97.589999999999989</v>
      </c>
      <c r="AD93" s="119">
        <v>67</v>
      </c>
      <c r="AE93" s="131">
        <v>29</v>
      </c>
      <c r="AF93" s="131">
        <v>1.8</v>
      </c>
      <c r="AG93" s="131">
        <v>0.7</v>
      </c>
      <c r="AH93" s="120">
        <v>1365</v>
      </c>
      <c r="AI93" s="120">
        <v>0.09</v>
      </c>
      <c r="AJ93" s="120">
        <v>37</v>
      </c>
      <c r="AK93" s="120">
        <v>55</v>
      </c>
      <c r="AL93" s="120">
        <v>39</v>
      </c>
      <c r="AM93" s="120">
        <v>7.2</v>
      </c>
      <c r="AN93" s="120"/>
      <c r="AO93" s="120"/>
    </row>
    <row r="94" spans="1:41" ht="14.1" customHeight="1" x14ac:dyDescent="0.2">
      <c r="A94" s="24"/>
      <c r="B94" s="10" t="s">
        <v>105</v>
      </c>
      <c r="C94" s="122">
        <f>Produksi!D99</f>
        <v>270.8</v>
      </c>
      <c r="D94" s="122">
        <f>Produksi!F99</f>
        <v>270.8</v>
      </c>
      <c r="E94" s="123" t="e">
        <f>#REF!</f>
        <v>#REF!</v>
      </c>
      <c r="F94" s="124" t="e">
        <f>#REF!+#REF!</f>
        <v>#REF!</v>
      </c>
      <c r="G94" s="124"/>
      <c r="H94" s="124" t="e">
        <f t="shared" si="18"/>
        <v>#REF!</v>
      </c>
      <c r="I94" s="124">
        <f>'Pemakaian Dalam Negeri'!E103</f>
        <v>0</v>
      </c>
      <c r="J94" s="125">
        <f>'Pemakaian Dalam Negeri'!F103</f>
        <v>0</v>
      </c>
      <c r="K94" s="124">
        <f>'Pemakaian Dalam Negeri'!G103</f>
        <v>0</v>
      </c>
      <c r="L94" s="124">
        <f>'Pemakaian Dalam Negeri'!H103</f>
        <v>4.8058292928296362</v>
      </c>
      <c r="M94" s="124">
        <f>'Pemakaian Dalam Negeri'!I103</f>
        <v>0</v>
      </c>
      <c r="N94" s="124">
        <f>'Pemakaian Dalam Negeri'!J103</f>
        <v>194.60617455902249</v>
      </c>
      <c r="O94" s="124" t="e">
        <f t="shared" si="10"/>
        <v>#REF!</v>
      </c>
      <c r="P94" s="124" t="e">
        <f t="shared" si="11"/>
        <v>#REF!</v>
      </c>
      <c r="Q94" s="126" t="e">
        <f t="shared" si="13"/>
        <v>#REF!</v>
      </c>
      <c r="R94" s="126" t="e">
        <f t="shared" si="14"/>
        <v>#REF!</v>
      </c>
      <c r="S94" s="126" t="e">
        <f t="shared" si="15"/>
        <v>#REF!</v>
      </c>
      <c r="T94" s="126" t="e">
        <f t="shared" si="16"/>
        <v>#REF!</v>
      </c>
      <c r="U94" s="127" t="e">
        <f t="shared" si="17"/>
        <v>#REF!</v>
      </c>
      <c r="V94" s="135"/>
      <c r="W94" s="136">
        <v>100</v>
      </c>
      <c r="X94" s="136">
        <v>0</v>
      </c>
      <c r="Y94" s="136">
        <v>0.44</v>
      </c>
      <c r="Z94" s="136">
        <v>0</v>
      </c>
      <c r="AA94" s="136">
        <v>0</v>
      </c>
      <c r="AB94" s="170">
        <v>1.97</v>
      </c>
      <c r="AC94" s="141">
        <f t="shared" si="12"/>
        <v>97.59</v>
      </c>
      <c r="AD94" s="119">
        <v>70</v>
      </c>
      <c r="AE94" s="131">
        <v>16.8</v>
      </c>
      <c r="AF94" s="131">
        <v>2.04</v>
      </c>
      <c r="AG94" s="131">
        <v>0.42</v>
      </c>
      <c r="AH94" s="120">
        <v>6300</v>
      </c>
      <c r="AI94" s="120">
        <v>7.0000000000000007E-2</v>
      </c>
      <c r="AJ94" s="120">
        <v>32</v>
      </c>
      <c r="AK94" s="120">
        <v>73</v>
      </c>
      <c r="AL94" s="120">
        <v>50</v>
      </c>
      <c r="AM94" s="120">
        <v>2.5</v>
      </c>
      <c r="AN94" s="120"/>
      <c r="AO94" s="120"/>
    </row>
    <row r="95" spans="1:41" ht="14.1" customHeight="1" x14ac:dyDescent="0.2">
      <c r="A95" s="24"/>
      <c r="B95" s="10" t="s">
        <v>106</v>
      </c>
      <c r="C95" s="122">
        <f>Produksi!D100</f>
        <v>0</v>
      </c>
      <c r="D95" s="122">
        <f>Produksi!F100</f>
        <v>0</v>
      </c>
      <c r="E95" s="123" t="e">
        <f>#REF!</f>
        <v>#REF!</v>
      </c>
      <c r="F95" s="124" t="e">
        <f>#REF!+#REF!</f>
        <v>#REF!</v>
      </c>
      <c r="G95" s="124"/>
      <c r="H95" s="124" t="e">
        <f t="shared" si="18"/>
        <v>#REF!</v>
      </c>
      <c r="I95" s="124">
        <f>'Pemakaian Dalam Negeri'!E104</f>
        <v>0</v>
      </c>
      <c r="J95" s="125">
        <f>'Pemakaian Dalam Negeri'!F104</f>
        <v>0</v>
      </c>
      <c r="K95" s="124">
        <f>'Pemakaian Dalam Negeri'!G104</f>
        <v>0</v>
      </c>
      <c r="L95" s="124">
        <f>'Pemakaian Dalam Negeri'!H104</f>
        <v>0</v>
      </c>
      <c r="M95" s="124">
        <f>'Pemakaian Dalam Negeri'!I104</f>
        <v>0</v>
      </c>
      <c r="N95" s="124">
        <f>'Pemakaian Dalam Negeri'!J104</f>
        <v>0</v>
      </c>
      <c r="O95" s="124" t="e">
        <f t="shared" si="10"/>
        <v>#REF!</v>
      </c>
      <c r="P95" s="124" t="e">
        <f t="shared" si="11"/>
        <v>#REF!</v>
      </c>
      <c r="Q95" s="126" t="e">
        <f t="shared" si="13"/>
        <v>#REF!</v>
      </c>
      <c r="R95" s="126" t="e">
        <f t="shared" si="14"/>
        <v>#REF!</v>
      </c>
      <c r="S95" s="126" t="e">
        <f t="shared" si="15"/>
        <v>#REF!</v>
      </c>
      <c r="T95" s="126" t="e">
        <f t="shared" si="16"/>
        <v>#REF!</v>
      </c>
      <c r="U95" s="127" t="e">
        <f t="shared" si="17"/>
        <v>#REF!</v>
      </c>
      <c r="V95" s="135"/>
      <c r="W95" s="136">
        <v>100</v>
      </c>
      <c r="X95" s="136">
        <v>0</v>
      </c>
      <c r="Y95" s="136">
        <v>0.44</v>
      </c>
      <c r="Z95" s="136">
        <v>0</v>
      </c>
      <c r="AA95" s="157"/>
      <c r="AB95" s="170">
        <v>1.97</v>
      </c>
      <c r="AC95" s="141">
        <f t="shared" si="12"/>
        <v>97.59</v>
      </c>
      <c r="AD95" s="119">
        <v>87</v>
      </c>
      <c r="AE95" s="131">
        <v>21</v>
      </c>
      <c r="AF95" s="131">
        <v>0.9</v>
      </c>
      <c r="AG95" s="131">
        <v>0.1</v>
      </c>
      <c r="AH95" s="120">
        <v>10</v>
      </c>
      <c r="AI95" s="120">
        <v>0.03</v>
      </c>
      <c r="AJ95" s="120">
        <v>32</v>
      </c>
      <c r="AK95" s="120">
        <v>35</v>
      </c>
      <c r="AL95" s="120">
        <v>26</v>
      </c>
      <c r="AM95" s="120">
        <v>0.6</v>
      </c>
      <c r="AN95" s="120"/>
      <c r="AO95" s="120"/>
    </row>
    <row r="96" spans="1:41" ht="14.1" customHeight="1" x14ac:dyDescent="0.2">
      <c r="A96" s="24"/>
      <c r="B96" s="10" t="s">
        <v>107</v>
      </c>
      <c r="C96" s="122">
        <f>Produksi!D101</f>
        <v>0</v>
      </c>
      <c r="D96" s="122">
        <f>Produksi!F101</f>
        <v>0</v>
      </c>
      <c r="E96" s="123" t="e">
        <f>#REF!</f>
        <v>#REF!</v>
      </c>
      <c r="F96" s="124" t="e">
        <f>#REF!+#REF!</f>
        <v>#REF!</v>
      </c>
      <c r="G96" s="124"/>
      <c r="H96" s="124" t="e">
        <f t="shared" si="18"/>
        <v>#REF!</v>
      </c>
      <c r="I96" s="124">
        <f>'Pemakaian Dalam Negeri'!E105</f>
        <v>0</v>
      </c>
      <c r="J96" s="125">
        <f>'Pemakaian Dalam Negeri'!F105</f>
        <v>6.676437362468457</v>
      </c>
      <c r="K96" s="124">
        <f>'Pemakaian Dalam Negeri'!G105</f>
        <v>0</v>
      </c>
      <c r="L96" s="124">
        <f>'Pemakaian Dalam Negeri'!H105</f>
        <v>21.065310988478064</v>
      </c>
      <c r="M96" s="124">
        <f>'Pemakaian Dalam Negeri'!I105</f>
        <v>0</v>
      </c>
      <c r="N96" s="124">
        <f>'Pemakaian Dalam Negeri'!J105</f>
        <v>1123.3681417298219</v>
      </c>
      <c r="O96" s="124" t="e">
        <f t="shared" si="10"/>
        <v>#REF!</v>
      </c>
      <c r="P96" s="124" t="e">
        <f t="shared" si="11"/>
        <v>#REF!</v>
      </c>
      <c r="Q96" s="126" t="e">
        <f t="shared" si="13"/>
        <v>#REF!</v>
      </c>
      <c r="R96" s="126" t="e">
        <f t="shared" si="14"/>
        <v>#REF!</v>
      </c>
      <c r="S96" s="126" t="e">
        <f t="shared" si="15"/>
        <v>#REF!</v>
      </c>
      <c r="T96" s="126" t="e">
        <f t="shared" si="16"/>
        <v>#REF!</v>
      </c>
      <c r="U96" s="127" t="e">
        <f t="shared" si="17"/>
        <v>#REF!</v>
      </c>
      <c r="V96" s="135"/>
      <c r="W96" s="136">
        <v>100</v>
      </c>
      <c r="X96" s="136">
        <v>0</v>
      </c>
      <c r="Y96" s="136">
        <v>0.24</v>
      </c>
      <c r="Z96" s="136">
        <v>0</v>
      </c>
      <c r="AA96" s="157"/>
      <c r="AB96" s="170">
        <v>0.02</v>
      </c>
      <c r="AC96" s="141">
        <f t="shared" si="12"/>
        <v>99.740000000000009</v>
      </c>
      <c r="AD96" s="119">
        <v>83</v>
      </c>
      <c r="AE96" s="131">
        <v>30</v>
      </c>
      <c r="AF96" s="131">
        <v>0.6</v>
      </c>
      <c r="AG96" s="131">
        <v>0.1</v>
      </c>
      <c r="AH96" s="120">
        <v>90</v>
      </c>
      <c r="AI96" s="120">
        <v>0.05</v>
      </c>
      <c r="AJ96" s="120">
        <v>27</v>
      </c>
      <c r="AK96" s="120">
        <v>24</v>
      </c>
      <c r="AL96" s="120">
        <v>36</v>
      </c>
      <c r="AM96" s="120">
        <v>0.8</v>
      </c>
      <c r="AN96" s="120"/>
      <c r="AO96" s="120"/>
    </row>
    <row r="97" spans="1:41" ht="14.1" customHeight="1" x14ac:dyDescent="0.2">
      <c r="A97" s="24"/>
      <c r="B97" s="10" t="s">
        <v>108</v>
      </c>
      <c r="C97" s="122">
        <f>Produksi!D102</f>
        <v>0</v>
      </c>
      <c r="D97" s="122">
        <f>Produksi!F102</f>
        <v>0</v>
      </c>
      <c r="E97" s="123" t="e">
        <f>#REF!</f>
        <v>#REF!</v>
      </c>
      <c r="F97" s="124" t="e">
        <f>#REF!+#REF!</f>
        <v>#REF!</v>
      </c>
      <c r="G97" s="124"/>
      <c r="H97" s="124" t="e">
        <f t="shared" si="18"/>
        <v>#REF!</v>
      </c>
      <c r="I97" s="124">
        <f>'Pemakaian Dalam Negeri'!E106</f>
        <v>0</v>
      </c>
      <c r="J97" s="125">
        <f>'Pemakaian Dalam Negeri'!F106</f>
        <v>6.9693000000000005</v>
      </c>
      <c r="K97" s="124">
        <f>'Pemakaian Dalam Negeri'!G106</f>
        <v>0</v>
      </c>
      <c r="L97" s="124">
        <f>'Pemakaian Dalam Negeri'!H106</f>
        <v>36.0974</v>
      </c>
      <c r="M97" s="124">
        <f>'Pemakaian Dalam Negeri'!I106</f>
        <v>0</v>
      </c>
      <c r="N97" s="124">
        <f>'Pemakaian Dalam Negeri'!J106</f>
        <v>1743.9332999999999</v>
      </c>
      <c r="O97" s="124" t="e">
        <f t="shared" si="10"/>
        <v>#REF!</v>
      </c>
      <c r="P97" s="124" t="e">
        <f t="shared" si="11"/>
        <v>#REF!</v>
      </c>
      <c r="Q97" s="126" t="e">
        <f t="shared" si="13"/>
        <v>#REF!</v>
      </c>
      <c r="R97" s="126" t="e">
        <f t="shared" si="14"/>
        <v>#REF!</v>
      </c>
      <c r="S97" s="126" t="e">
        <f t="shared" si="15"/>
        <v>#REF!</v>
      </c>
      <c r="T97" s="126" t="e">
        <f t="shared" si="16"/>
        <v>#REF!</v>
      </c>
      <c r="U97" s="127" t="e">
        <f t="shared" si="17"/>
        <v>#REF!</v>
      </c>
      <c r="V97" s="156"/>
      <c r="W97" s="136">
        <v>100</v>
      </c>
      <c r="X97" s="157"/>
      <c r="Y97" s="157"/>
      <c r="Z97" s="157"/>
      <c r="AA97" s="157"/>
      <c r="AB97" s="170">
        <v>2.41</v>
      </c>
      <c r="AC97" s="141">
        <f t="shared" si="12"/>
        <v>97.59</v>
      </c>
      <c r="AD97" s="119">
        <v>90</v>
      </c>
      <c r="AE97" s="131">
        <v>30.6</v>
      </c>
      <c r="AF97" s="131">
        <v>2.16</v>
      </c>
      <c r="AG97" s="131">
        <v>0.27</v>
      </c>
      <c r="AH97" s="120">
        <v>630</v>
      </c>
      <c r="AI97" s="120">
        <v>0.08</v>
      </c>
      <c r="AJ97" s="120">
        <v>19</v>
      </c>
      <c r="AK97" s="120">
        <v>65</v>
      </c>
      <c r="AL97" s="120">
        <v>44</v>
      </c>
      <c r="AM97" s="120">
        <v>1.1000000000000001</v>
      </c>
      <c r="AN97" s="120"/>
      <c r="AO97" s="120"/>
    </row>
    <row r="98" spans="1:41" s="163" customFormat="1" x14ac:dyDescent="0.2">
      <c r="A98" s="24"/>
      <c r="B98" s="10" t="s">
        <v>109</v>
      </c>
      <c r="C98" s="122">
        <f>Produksi!D103</f>
        <v>231.4</v>
      </c>
      <c r="D98" s="122">
        <f>Produksi!F103</f>
        <v>231.4</v>
      </c>
      <c r="E98" s="123" t="e">
        <f>#REF!</f>
        <v>#REF!</v>
      </c>
      <c r="F98" s="124" t="e">
        <f>#REF!+#REF!</f>
        <v>#REF!</v>
      </c>
      <c r="G98" s="124"/>
      <c r="H98" s="124" t="e">
        <f t="shared" si="18"/>
        <v>#REF!</v>
      </c>
      <c r="I98" s="124">
        <f>'Pemakaian Dalam Negeri'!E107</f>
        <v>0</v>
      </c>
      <c r="J98" s="125">
        <f>'Pemakaian Dalam Negeri'!F107</f>
        <v>0</v>
      </c>
      <c r="K98" s="124">
        <f>'Pemakaian Dalam Negeri'!G107</f>
        <v>0</v>
      </c>
      <c r="L98" s="124">
        <f>'Pemakaian Dalam Negeri'!H107</f>
        <v>0</v>
      </c>
      <c r="M98" s="124">
        <f>'Pemakaian Dalam Negeri'!I107</f>
        <v>0</v>
      </c>
      <c r="N98" s="124">
        <f>'Pemakaian Dalam Negeri'!J107</f>
        <v>0</v>
      </c>
      <c r="O98" s="124" t="e">
        <f t="shared" si="10"/>
        <v>#REF!</v>
      </c>
      <c r="P98" s="124" t="e">
        <f t="shared" si="11"/>
        <v>#REF!</v>
      </c>
      <c r="Q98" s="126" t="e">
        <f t="shared" si="13"/>
        <v>#REF!</v>
      </c>
      <c r="R98" s="126" t="e">
        <f t="shared" si="14"/>
        <v>#REF!</v>
      </c>
      <c r="S98" s="126" t="e">
        <f t="shared" si="15"/>
        <v>#REF!</v>
      </c>
      <c r="T98" s="126" t="e">
        <f t="shared" si="16"/>
        <v>#REF!</v>
      </c>
      <c r="U98" s="127" t="e">
        <f t="shared" si="17"/>
        <v>#REF!</v>
      </c>
      <c r="W98" s="136">
        <v>100</v>
      </c>
      <c r="AB98" s="170">
        <v>2.41</v>
      </c>
      <c r="AC98" s="141">
        <f t="shared" si="12"/>
        <v>97.59</v>
      </c>
      <c r="AD98" s="119">
        <v>71</v>
      </c>
      <c r="AE98" s="131">
        <v>11.36</v>
      </c>
      <c r="AF98" s="131">
        <v>0.64</v>
      </c>
      <c r="AG98" s="131">
        <v>0.28000000000000003</v>
      </c>
      <c r="AH98" s="120">
        <v>6090</v>
      </c>
      <c r="AI98" s="120">
        <v>0.08</v>
      </c>
      <c r="AJ98" s="120">
        <v>80</v>
      </c>
      <c r="AK98" s="120">
        <v>267</v>
      </c>
      <c r="AL98" s="120">
        <v>67</v>
      </c>
      <c r="AM98" s="120">
        <v>3.9</v>
      </c>
    </row>
    <row r="99" spans="1:41" s="163" customFormat="1" x14ac:dyDescent="0.2">
      <c r="A99" s="28"/>
      <c r="B99" s="10" t="s">
        <v>110</v>
      </c>
      <c r="C99" s="122" t="e">
        <f>Produksi!#REF!</f>
        <v>#REF!</v>
      </c>
      <c r="D99" s="122" t="e">
        <f>Produksi!#REF!</f>
        <v>#REF!</v>
      </c>
      <c r="E99" s="123" t="e">
        <f>#REF!</f>
        <v>#REF!</v>
      </c>
      <c r="F99" s="124" t="e">
        <f>#REF!+#REF!</f>
        <v>#REF!</v>
      </c>
      <c r="G99" s="124"/>
      <c r="H99" s="124" t="e">
        <f t="shared" si="18"/>
        <v>#REF!</v>
      </c>
      <c r="I99" s="124">
        <f>'Pemakaian Dalam Negeri'!E108</f>
        <v>0</v>
      </c>
      <c r="J99" s="125">
        <f>'Pemakaian Dalam Negeri'!F108</f>
        <v>1.0919436908286153</v>
      </c>
      <c r="K99" s="124">
        <f>'Pemakaian Dalam Negeri'!G108</f>
        <v>0</v>
      </c>
      <c r="L99" s="124">
        <f>'Pemakaian Dalam Negeri'!H108</f>
        <v>4.8889297066644808</v>
      </c>
      <c r="M99" s="124">
        <f>'Pemakaian Dalam Negeri'!I108</f>
        <v>0</v>
      </c>
      <c r="N99" s="124">
        <f>'Pemakaian Dalam Negeri'!J108</f>
        <v>242.18814724537398</v>
      </c>
      <c r="O99" s="124" t="e">
        <f t="shared" si="10"/>
        <v>#REF!</v>
      </c>
      <c r="P99" s="124" t="e">
        <f t="shared" si="11"/>
        <v>#REF!</v>
      </c>
      <c r="Q99" s="126" t="e">
        <f t="shared" si="13"/>
        <v>#REF!</v>
      </c>
      <c r="R99" s="126" t="e">
        <f t="shared" si="14"/>
        <v>#REF!</v>
      </c>
      <c r="S99" s="126" t="e">
        <f t="shared" si="15"/>
        <v>#REF!</v>
      </c>
      <c r="T99" s="126" t="e">
        <f t="shared" si="16"/>
        <v>#REF!</v>
      </c>
      <c r="U99" s="127" t="e">
        <f t="shared" si="17"/>
        <v>#REF!</v>
      </c>
      <c r="W99" s="136">
        <v>100</v>
      </c>
      <c r="AB99" s="170">
        <v>2.41</v>
      </c>
      <c r="AC99" s="141">
        <f t="shared" si="12"/>
        <v>97.59</v>
      </c>
      <c r="AD99" s="119">
        <v>88</v>
      </c>
      <c r="AE99" s="131">
        <v>83.6</v>
      </c>
      <c r="AF99" s="131">
        <v>3.96</v>
      </c>
      <c r="AG99" s="131">
        <v>0.2</v>
      </c>
      <c r="AH99" s="120">
        <v>0</v>
      </c>
      <c r="AI99" s="120">
        <v>0.22</v>
      </c>
      <c r="AJ99" s="120">
        <v>15</v>
      </c>
      <c r="AK99" s="120">
        <v>42</v>
      </c>
      <c r="AL99" s="120">
        <v>134</v>
      </c>
      <c r="AM99" s="120">
        <v>1</v>
      </c>
    </row>
    <row r="100" spans="1:41" s="163" customFormat="1" x14ac:dyDescent="0.2">
      <c r="A100" s="28"/>
      <c r="B100" s="10" t="s">
        <v>111</v>
      </c>
      <c r="C100" s="122">
        <f>Produksi!D104</f>
        <v>0</v>
      </c>
      <c r="D100" s="122">
        <f>Produksi!F104</f>
        <v>0</v>
      </c>
      <c r="E100" s="123" t="e">
        <f>#REF!</f>
        <v>#REF!</v>
      </c>
      <c r="F100" s="124" t="e">
        <f>#REF!+#REF!</f>
        <v>#REF!</v>
      </c>
      <c r="G100" s="124"/>
      <c r="H100" s="124" t="e">
        <f t="shared" si="18"/>
        <v>#REF!</v>
      </c>
      <c r="I100" s="124">
        <f>'Pemakaian Dalam Negeri'!E109</f>
        <v>0</v>
      </c>
      <c r="J100" s="125">
        <f>'Pemakaian Dalam Negeri'!F109</f>
        <v>4.2500963761359225</v>
      </c>
      <c r="K100" s="124">
        <f>'Pemakaian Dalam Negeri'!G109</f>
        <v>0</v>
      </c>
      <c r="L100" s="124">
        <f>'Pemakaian Dalam Negeri'!H109</f>
        <v>19.028840593154015</v>
      </c>
      <c r="M100" s="124">
        <f>'Pemakaian Dalam Negeri'!I109</f>
        <v>0</v>
      </c>
      <c r="N100" s="124">
        <f>'Pemakaian Dalam Negeri'!J109</f>
        <v>942.65205760705601</v>
      </c>
      <c r="O100" s="124" t="e">
        <f t="shared" si="10"/>
        <v>#REF!</v>
      </c>
      <c r="P100" s="124" t="e">
        <f t="shared" si="11"/>
        <v>#REF!</v>
      </c>
      <c r="Q100" s="126" t="e">
        <f t="shared" si="13"/>
        <v>#REF!</v>
      </c>
      <c r="R100" s="126" t="e">
        <f t="shared" si="14"/>
        <v>#REF!</v>
      </c>
      <c r="S100" s="126" t="e">
        <f t="shared" si="15"/>
        <v>#REF!</v>
      </c>
      <c r="T100" s="126" t="e">
        <f t="shared" si="16"/>
        <v>#REF!</v>
      </c>
      <c r="U100" s="127" t="e">
        <f t="shared" si="17"/>
        <v>#REF!</v>
      </c>
      <c r="W100" s="136">
        <v>100</v>
      </c>
      <c r="AB100" s="170">
        <v>2.41</v>
      </c>
      <c r="AC100" s="141">
        <f t="shared" si="12"/>
        <v>97.59</v>
      </c>
      <c r="AD100" s="158">
        <v>57</v>
      </c>
      <c r="AE100" s="159">
        <v>25</v>
      </c>
      <c r="AF100" s="159">
        <v>2.4</v>
      </c>
      <c r="AG100" s="159">
        <v>0.2</v>
      </c>
      <c r="AH100" s="171"/>
      <c r="AI100" s="120"/>
      <c r="AJ100" s="120"/>
      <c r="AK100" s="120"/>
      <c r="AL100" s="120"/>
      <c r="AM100" s="120"/>
    </row>
    <row r="101" spans="1:41" ht="14.1" customHeight="1" x14ac:dyDescent="0.2">
      <c r="A101" s="28"/>
      <c r="B101" s="14" t="s">
        <v>167</v>
      </c>
      <c r="C101" s="122">
        <f>Produksi!D105</f>
        <v>0</v>
      </c>
      <c r="D101" s="122">
        <f>Produksi!F105</f>
        <v>0</v>
      </c>
      <c r="E101" s="123" t="e">
        <f>#REF!</f>
        <v>#REF!</v>
      </c>
      <c r="F101" s="124" t="e">
        <f>#REF!+#REF!</f>
        <v>#REF!</v>
      </c>
      <c r="G101" s="124"/>
      <c r="H101" s="124" t="e">
        <f t="shared" si="18"/>
        <v>#REF!</v>
      </c>
      <c r="I101" s="124" t="e">
        <f>'Pemakaian Dalam Negeri'!#REF!</f>
        <v>#REF!</v>
      </c>
      <c r="J101" s="125" t="e">
        <f>'Pemakaian Dalam Negeri'!#REF!</f>
        <v>#REF!</v>
      </c>
      <c r="K101" s="124" t="e">
        <f>'Pemakaian Dalam Negeri'!#REF!</f>
        <v>#REF!</v>
      </c>
      <c r="L101" s="124" t="e">
        <f>'Pemakaian Dalam Negeri'!#REF!</f>
        <v>#REF!</v>
      </c>
      <c r="M101" s="124" t="e">
        <f>'Pemakaian Dalam Negeri'!#REF!</f>
        <v>#REF!</v>
      </c>
      <c r="N101" s="124" t="e">
        <f>'Pemakaian Dalam Negeri'!#REF!</f>
        <v>#REF!</v>
      </c>
      <c r="O101" s="124" t="e">
        <f t="shared" si="10"/>
        <v>#REF!</v>
      </c>
      <c r="P101" s="124" t="e">
        <f t="shared" si="11"/>
        <v>#REF!</v>
      </c>
      <c r="Q101" s="126" t="e">
        <f t="shared" si="13"/>
        <v>#REF!</v>
      </c>
      <c r="R101" s="126" t="e">
        <f t="shared" si="14"/>
        <v>#REF!</v>
      </c>
      <c r="S101" s="126" t="e">
        <f t="shared" si="15"/>
        <v>#REF!</v>
      </c>
      <c r="T101" s="126" t="e">
        <f t="shared" si="16"/>
        <v>#REF!</v>
      </c>
      <c r="U101" s="127" t="e">
        <f t="shared" si="17"/>
        <v>#REF!</v>
      </c>
      <c r="V101" s="156"/>
      <c r="W101" s="136">
        <v>100</v>
      </c>
      <c r="X101" s="157"/>
      <c r="Y101" s="157"/>
      <c r="Z101" s="157"/>
      <c r="AA101" s="41">
        <v>0</v>
      </c>
      <c r="AB101" s="170">
        <v>2.41</v>
      </c>
      <c r="AC101" s="160">
        <v>97.39</v>
      </c>
      <c r="AD101" s="163">
        <v>100</v>
      </c>
      <c r="AE101" s="163">
        <v>30</v>
      </c>
      <c r="AF101" s="163">
        <v>1.9</v>
      </c>
      <c r="AG101" s="163">
        <v>0.1</v>
      </c>
      <c r="AH101" s="163"/>
      <c r="AI101" s="163"/>
      <c r="AJ101" s="163"/>
      <c r="AK101" s="163"/>
      <c r="AL101" s="163"/>
      <c r="AM101" s="163"/>
      <c r="AN101" s="120"/>
      <c r="AO101" s="120"/>
    </row>
    <row r="102" spans="1:41" ht="14.1" customHeight="1" x14ac:dyDescent="0.2">
      <c r="A102" s="28"/>
      <c r="B102" s="14" t="s">
        <v>21</v>
      </c>
      <c r="C102" s="122">
        <f>Produksi!D106</f>
        <v>0</v>
      </c>
      <c r="D102" s="122">
        <f>Produksi!F106</f>
        <v>0</v>
      </c>
      <c r="E102" s="123" t="e">
        <f>#REF!</f>
        <v>#REF!</v>
      </c>
      <c r="F102" s="124" t="e">
        <f>#REF!+#REF!</f>
        <v>#REF!</v>
      </c>
      <c r="G102" s="124"/>
      <c r="H102" s="124" t="e">
        <f t="shared" si="18"/>
        <v>#REF!</v>
      </c>
      <c r="I102" s="124">
        <f>'Pemakaian Dalam Negeri'!E110</f>
        <v>0</v>
      </c>
      <c r="J102" s="125">
        <f>'Pemakaian Dalam Negeri'!F110</f>
        <v>0</v>
      </c>
      <c r="K102" s="124">
        <f>'Pemakaian Dalam Negeri'!G110</f>
        <v>0</v>
      </c>
      <c r="L102" s="124">
        <f>'Pemakaian Dalam Negeri'!H110</f>
        <v>0</v>
      </c>
      <c r="M102" s="124">
        <f>'Pemakaian Dalam Negeri'!I110</f>
        <v>0</v>
      </c>
      <c r="N102" s="124">
        <f>'Pemakaian Dalam Negeri'!J110</f>
        <v>0</v>
      </c>
      <c r="O102" s="124" t="e">
        <f t="shared" si="10"/>
        <v>#REF!</v>
      </c>
      <c r="P102" s="124" t="e">
        <f t="shared" si="11"/>
        <v>#REF!</v>
      </c>
      <c r="Q102" s="126" t="e">
        <f t="shared" si="13"/>
        <v>#REF!</v>
      </c>
      <c r="R102" s="126" t="e">
        <f t="shared" si="14"/>
        <v>#REF!</v>
      </c>
      <c r="S102" s="126" t="e">
        <f t="shared" si="15"/>
        <v>#REF!</v>
      </c>
      <c r="T102" s="126" t="e">
        <f t="shared" si="16"/>
        <v>#REF!</v>
      </c>
      <c r="U102" s="127" t="e">
        <f t="shared" si="17"/>
        <v>#REF!</v>
      </c>
      <c r="V102" s="156"/>
      <c r="W102" s="136">
        <v>100</v>
      </c>
      <c r="X102" s="157"/>
      <c r="Y102" s="157"/>
      <c r="Z102" s="157"/>
      <c r="AA102" s="137"/>
      <c r="AB102" s="170">
        <v>2.41</v>
      </c>
      <c r="AC102" s="160">
        <v>97.39</v>
      </c>
      <c r="AD102" s="163">
        <v>100</v>
      </c>
      <c r="AE102" s="163">
        <v>30</v>
      </c>
      <c r="AF102" s="163">
        <v>3.5</v>
      </c>
      <c r="AG102" s="163">
        <v>0.2</v>
      </c>
      <c r="AH102" s="163"/>
      <c r="AI102" s="163"/>
      <c r="AJ102" s="163"/>
      <c r="AK102" s="163"/>
      <c r="AL102" s="163"/>
      <c r="AM102" s="163"/>
      <c r="AN102" s="120"/>
      <c r="AO102" s="120"/>
    </row>
    <row r="103" spans="1:41" ht="14.1" customHeight="1" x14ac:dyDescent="0.2">
      <c r="A103" s="28"/>
      <c r="B103" s="14" t="s">
        <v>22</v>
      </c>
      <c r="C103" s="122">
        <f>Produksi!D107</f>
        <v>0</v>
      </c>
      <c r="D103" s="122">
        <f>Produksi!F107</f>
        <v>0</v>
      </c>
      <c r="E103" s="123" t="e">
        <f>#REF!</f>
        <v>#REF!</v>
      </c>
      <c r="F103" s="124" t="e">
        <f>#REF!+#REF!</f>
        <v>#REF!</v>
      </c>
      <c r="G103" s="124"/>
      <c r="H103" s="124" t="e">
        <f t="shared" si="18"/>
        <v>#REF!</v>
      </c>
      <c r="I103" s="124">
        <f>'Pemakaian Dalam Negeri'!E111</f>
        <v>0</v>
      </c>
      <c r="J103" s="125">
        <f>'Pemakaian Dalam Negeri'!F111</f>
        <v>0</v>
      </c>
      <c r="K103" s="124">
        <f>'Pemakaian Dalam Negeri'!G111</f>
        <v>0</v>
      </c>
      <c r="L103" s="124">
        <f>'Pemakaian Dalam Negeri'!H111</f>
        <v>0</v>
      </c>
      <c r="M103" s="124">
        <f>'Pemakaian Dalam Negeri'!I111</f>
        <v>0</v>
      </c>
      <c r="N103" s="124">
        <f>'Pemakaian Dalam Negeri'!J111</f>
        <v>0</v>
      </c>
      <c r="O103" s="124" t="e">
        <f t="shared" si="10"/>
        <v>#REF!</v>
      </c>
      <c r="P103" s="124" t="e">
        <f t="shared" si="11"/>
        <v>#REF!</v>
      </c>
      <c r="Q103" s="126" t="e">
        <f t="shared" si="13"/>
        <v>#REF!</v>
      </c>
      <c r="R103" s="126" t="e">
        <f t="shared" si="14"/>
        <v>#REF!</v>
      </c>
      <c r="S103" s="126" t="e">
        <f t="shared" si="15"/>
        <v>#REF!</v>
      </c>
      <c r="T103" s="126" t="e">
        <f t="shared" si="16"/>
        <v>#REF!</v>
      </c>
      <c r="U103" s="127" t="e">
        <f t="shared" si="17"/>
        <v>#REF!</v>
      </c>
      <c r="V103" s="156"/>
      <c r="W103" s="136">
        <v>100</v>
      </c>
      <c r="X103" s="157"/>
      <c r="Y103" s="157"/>
      <c r="Z103" s="157"/>
      <c r="AA103" s="137"/>
      <c r="AB103" s="170">
        <v>2.41</v>
      </c>
      <c r="AC103" s="160">
        <v>97.39</v>
      </c>
      <c r="AD103" s="158">
        <v>100</v>
      </c>
      <c r="AE103" s="159">
        <v>71.5</v>
      </c>
      <c r="AF103" s="159">
        <v>9.9</v>
      </c>
      <c r="AG103" s="159">
        <v>0.8</v>
      </c>
      <c r="AH103" s="163"/>
      <c r="AI103" s="163"/>
      <c r="AJ103" s="163"/>
      <c r="AK103" s="163"/>
      <c r="AL103" s="163"/>
      <c r="AM103" s="163"/>
      <c r="AN103" s="120"/>
      <c r="AO103" s="120"/>
    </row>
    <row r="104" spans="1:41" ht="14.1" customHeight="1" x14ac:dyDescent="0.2">
      <c r="A104" s="28"/>
      <c r="B104" s="10" t="s">
        <v>112</v>
      </c>
      <c r="C104" s="122">
        <f>Produksi!D108</f>
        <v>0</v>
      </c>
      <c r="D104" s="122">
        <f>Produksi!F108</f>
        <v>0</v>
      </c>
      <c r="E104" s="123" t="e">
        <f>#REF!</f>
        <v>#REF!</v>
      </c>
      <c r="F104" s="124" t="e">
        <f>#REF!+#REF!</f>
        <v>#REF!</v>
      </c>
      <c r="G104" s="124"/>
      <c r="H104" s="124" t="e">
        <f t="shared" si="18"/>
        <v>#REF!</v>
      </c>
      <c r="I104" s="124">
        <f>'Pemakaian Dalam Negeri'!E112</f>
        <v>0</v>
      </c>
      <c r="J104" s="125">
        <f>'Pemakaian Dalam Negeri'!F112</f>
        <v>0</v>
      </c>
      <c r="K104" s="124">
        <f>'Pemakaian Dalam Negeri'!G112</f>
        <v>0</v>
      </c>
      <c r="L104" s="124">
        <f>'Pemakaian Dalam Negeri'!H112</f>
        <v>0</v>
      </c>
      <c r="M104" s="124">
        <f>'Pemakaian Dalam Negeri'!I112</f>
        <v>0</v>
      </c>
      <c r="N104" s="124">
        <f>'Pemakaian Dalam Negeri'!J112</f>
        <v>0</v>
      </c>
      <c r="O104" s="124" t="e">
        <f t="shared" si="10"/>
        <v>#REF!</v>
      </c>
      <c r="P104" s="124" t="e">
        <f t="shared" si="11"/>
        <v>#REF!</v>
      </c>
      <c r="Q104" s="126" t="e">
        <f t="shared" si="13"/>
        <v>#REF!</v>
      </c>
      <c r="R104" s="126" t="e">
        <f t="shared" si="14"/>
        <v>#REF!</v>
      </c>
      <c r="S104" s="126" t="e">
        <f t="shared" si="15"/>
        <v>#REF!</v>
      </c>
      <c r="T104" s="126" t="e">
        <f t="shared" si="16"/>
        <v>#REF!</v>
      </c>
      <c r="U104" s="127" t="e">
        <f t="shared" si="17"/>
        <v>#REF!</v>
      </c>
      <c r="V104" s="135"/>
      <c r="W104" s="136">
        <v>100</v>
      </c>
      <c r="X104" s="136">
        <v>0</v>
      </c>
      <c r="Y104" s="136">
        <v>0.64</v>
      </c>
      <c r="Z104" s="136">
        <v>0</v>
      </c>
      <c r="AA104" s="136">
        <v>0</v>
      </c>
      <c r="AB104" s="170">
        <v>1.77</v>
      </c>
      <c r="AC104" s="141">
        <f>W104-X104-Y104-Z104-AA104-AB104</f>
        <v>97.59</v>
      </c>
      <c r="AD104" s="158">
        <v>60</v>
      </c>
      <c r="AE104" s="159">
        <v>66</v>
      </c>
      <c r="AF104" s="159">
        <v>5</v>
      </c>
      <c r="AG104" s="159">
        <v>0.7</v>
      </c>
      <c r="AH104" s="171"/>
      <c r="AI104" s="120"/>
      <c r="AJ104" s="120"/>
      <c r="AK104" s="120"/>
      <c r="AL104" s="120"/>
      <c r="AM104" s="120"/>
      <c r="AN104" s="120"/>
      <c r="AO104" s="120"/>
    </row>
    <row r="105" spans="1:41" ht="14.1" customHeight="1" x14ac:dyDescent="0.2">
      <c r="A105" s="28"/>
      <c r="B105" s="10" t="s">
        <v>113</v>
      </c>
      <c r="C105" s="122">
        <f>Produksi!D109</f>
        <v>0</v>
      </c>
      <c r="D105" s="122">
        <f>Produksi!F109</f>
        <v>0</v>
      </c>
      <c r="E105" s="123" t="e">
        <f>#REF!</f>
        <v>#REF!</v>
      </c>
      <c r="F105" s="124" t="e">
        <f>#REF!+#REF!</f>
        <v>#REF!</v>
      </c>
      <c r="G105" s="124"/>
      <c r="H105" s="124" t="e">
        <f t="shared" si="18"/>
        <v>#REF!</v>
      </c>
      <c r="I105" s="124">
        <f>'Pemakaian Dalam Negeri'!E113</f>
        <v>0</v>
      </c>
      <c r="J105" s="125">
        <f>'Pemakaian Dalam Negeri'!F113</f>
        <v>0</v>
      </c>
      <c r="K105" s="124">
        <f>'Pemakaian Dalam Negeri'!G113</f>
        <v>0</v>
      </c>
      <c r="L105" s="124">
        <f>'Pemakaian Dalam Negeri'!H113</f>
        <v>0</v>
      </c>
      <c r="M105" s="124">
        <f>'Pemakaian Dalam Negeri'!I113</f>
        <v>0</v>
      </c>
      <c r="N105" s="124">
        <f>'Pemakaian Dalam Negeri'!J113</f>
        <v>0</v>
      </c>
      <c r="O105" s="124" t="e">
        <f t="shared" si="10"/>
        <v>#REF!</v>
      </c>
      <c r="P105" s="124" t="e">
        <f t="shared" si="11"/>
        <v>#REF!</v>
      </c>
      <c r="Q105" s="126" t="e">
        <f t="shared" si="13"/>
        <v>#REF!</v>
      </c>
      <c r="R105" s="126" t="e">
        <f t="shared" si="14"/>
        <v>#REF!</v>
      </c>
      <c r="S105" s="126" t="e">
        <f t="shared" si="15"/>
        <v>#REF!</v>
      </c>
      <c r="T105" s="126" t="e">
        <f t="shared" si="16"/>
        <v>#REF!</v>
      </c>
      <c r="U105" s="127" t="e">
        <f t="shared" si="17"/>
        <v>#REF!</v>
      </c>
      <c r="V105" s="135"/>
      <c r="W105" s="136">
        <v>100</v>
      </c>
      <c r="X105" s="137"/>
      <c r="Y105" s="137"/>
      <c r="Z105" s="137"/>
      <c r="AA105" s="136">
        <v>0</v>
      </c>
      <c r="AB105" s="170">
        <v>2.41</v>
      </c>
      <c r="AC105" s="141">
        <f t="shared" ref="AC105:AC110" si="19">W105-X105-Y105-Z105-AA105-AB105</f>
        <v>97.59</v>
      </c>
      <c r="AD105" s="158">
        <v>36</v>
      </c>
      <c r="AE105" s="159">
        <v>51.1</v>
      </c>
      <c r="AF105" s="159">
        <v>3.74</v>
      </c>
      <c r="AG105" s="159">
        <v>0.7</v>
      </c>
      <c r="AH105" s="171"/>
      <c r="AI105" s="120"/>
      <c r="AJ105" s="120"/>
      <c r="AK105" s="120"/>
      <c r="AL105" s="120"/>
      <c r="AM105" s="120"/>
      <c r="AN105" s="120"/>
      <c r="AO105" s="120"/>
    </row>
    <row r="106" spans="1:41" ht="14.1" customHeight="1" x14ac:dyDescent="0.2">
      <c r="A106" s="28"/>
      <c r="B106" s="10" t="s">
        <v>114</v>
      </c>
      <c r="C106" s="122">
        <f>Produksi!D110</f>
        <v>0</v>
      </c>
      <c r="D106" s="122">
        <f>Produksi!F110</f>
        <v>0</v>
      </c>
      <c r="E106" s="123" t="e">
        <f>#REF!</f>
        <v>#REF!</v>
      </c>
      <c r="F106" s="124" t="e">
        <f>#REF!+#REF!</f>
        <v>#REF!</v>
      </c>
      <c r="G106" s="124"/>
      <c r="H106" s="124" t="e">
        <f t="shared" si="18"/>
        <v>#REF!</v>
      </c>
      <c r="I106" s="124">
        <f>'Pemakaian Dalam Negeri'!E114</f>
        <v>0</v>
      </c>
      <c r="J106" s="125">
        <f>'Pemakaian Dalam Negeri'!F114</f>
        <v>0</v>
      </c>
      <c r="K106" s="124">
        <f>'Pemakaian Dalam Negeri'!G114</f>
        <v>0</v>
      </c>
      <c r="L106" s="124">
        <f>'Pemakaian Dalam Negeri'!H114</f>
        <v>0</v>
      </c>
      <c r="M106" s="124">
        <f>'Pemakaian Dalam Negeri'!I114</f>
        <v>0</v>
      </c>
      <c r="N106" s="124">
        <f>'Pemakaian Dalam Negeri'!J114</f>
        <v>0</v>
      </c>
      <c r="O106" s="124" t="e">
        <f t="shared" si="10"/>
        <v>#REF!</v>
      </c>
      <c r="P106" s="124" t="e">
        <f t="shared" si="11"/>
        <v>#REF!</v>
      </c>
      <c r="Q106" s="126" t="e">
        <f t="shared" si="13"/>
        <v>#REF!</v>
      </c>
      <c r="R106" s="126" t="e">
        <f t="shared" si="14"/>
        <v>#REF!</v>
      </c>
      <c r="S106" s="126" t="e">
        <f t="shared" si="15"/>
        <v>#REF!</v>
      </c>
      <c r="T106" s="126" t="e">
        <f t="shared" si="16"/>
        <v>#REF!</v>
      </c>
      <c r="U106" s="127" t="e">
        <f t="shared" si="17"/>
        <v>#REF!</v>
      </c>
      <c r="V106" s="135"/>
      <c r="W106" s="136">
        <v>100</v>
      </c>
      <c r="X106" s="137"/>
      <c r="Y106" s="137"/>
      <c r="Z106" s="137"/>
      <c r="AA106" s="136"/>
      <c r="AB106" s="172">
        <v>2.41</v>
      </c>
      <c r="AC106" s="141">
        <f t="shared" si="19"/>
        <v>97.59</v>
      </c>
      <c r="AD106" s="158">
        <v>93</v>
      </c>
      <c r="AE106" s="159">
        <v>126</v>
      </c>
      <c r="AF106" s="159">
        <v>5.67</v>
      </c>
      <c r="AG106" s="159">
        <v>0.09</v>
      </c>
      <c r="AH106" s="171"/>
      <c r="AI106" s="120"/>
      <c r="AJ106" s="120"/>
      <c r="AK106" s="120"/>
      <c r="AL106" s="120"/>
      <c r="AM106" s="120"/>
      <c r="AN106" s="120"/>
      <c r="AO106" s="120"/>
    </row>
    <row r="107" spans="1:41" ht="14.1" customHeight="1" x14ac:dyDescent="0.2">
      <c r="A107" s="28"/>
      <c r="B107" s="10" t="s">
        <v>115</v>
      </c>
      <c r="C107" s="122">
        <f>Produksi!D111</f>
        <v>0</v>
      </c>
      <c r="D107" s="122">
        <f>Produksi!F111</f>
        <v>0</v>
      </c>
      <c r="E107" s="123" t="e">
        <f>#REF!</f>
        <v>#REF!</v>
      </c>
      <c r="F107" s="124" t="e">
        <f>#REF!+#REF!</f>
        <v>#REF!</v>
      </c>
      <c r="G107" s="124"/>
      <c r="H107" s="124" t="e">
        <f t="shared" si="18"/>
        <v>#REF!</v>
      </c>
      <c r="I107" s="124">
        <f>'Pemakaian Dalam Negeri'!E115</f>
        <v>0</v>
      </c>
      <c r="J107" s="125">
        <f>'Pemakaian Dalam Negeri'!F115</f>
        <v>0</v>
      </c>
      <c r="K107" s="124">
        <f>'Pemakaian Dalam Negeri'!G115</f>
        <v>0</v>
      </c>
      <c r="L107" s="124">
        <f>'Pemakaian Dalam Negeri'!H115</f>
        <v>0</v>
      </c>
      <c r="M107" s="124">
        <f>'Pemakaian Dalam Negeri'!I115</f>
        <v>0</v>
      </c>
      <c r="N107" s="124">
        <f>'Pemakaian Dalam Negeri'!J115</f>
        <v>0</v>
      </c>
      <c r="O107" s="124" t="e">
        <f t="shared" si="10"/>
        <v>#REF!</v>
      </c>
      <c r="P107" s="124" t="e">
        <f t="shared" si="11"/>
        <v>#REF!</v>
      </c>
      <c r="Q107" s="126" t="e">
        <f t="shared" si="13"/>
        <v>#REF!</v>
      </c>
      <c r="R107" s="126" t="e">
        <f t="shared" si="14"/>
        <v>#REF!</v>
      </c>
      <c r="S107" s="126" t="e">
        <f t="shared" si="15"/>
        <v>#REF!</v>
      </c>
      <c r="T107" s="126" t="e">
        <f t="shared" si="16"/>
        <v>#REF!</v>
      </c>
      <c r="U107" s="127" t="e">
        <f t="shared" si="17"/>
        <v>#REF!</v>
      </c>
      <c r="V107" s="135"/>
      <c r="W107" s="136">
        <v>100</v>
      </c>
      <c r="X107" s="137"/>
      <c r="Y107" s="137"/>
      <c r="Z107" s="137"/>
      <c r="AA107" s="136"/>
      <c r="AB107" s="172">
        <v>2.41</v>
      </c>
      <c r="AC107" s="141">
        <f t="shared" si="19"/>
        <v>97.59</v>
      </c>
      <c r="AD107" s="119">
        <v>85</v>
      </c>
      <c r="AE107" s="131">
        <v>28.5</v>
      </c>
      <c r="AF107" s="131">
        <v>24.96</v>
      </c>
      <c r="AG107" s="131">
        <v>0.59</v>
      </c>
      <c r="AH107" s="120"/>
      <c r="AI107" s="120"/>
      <c r="AJ107" s="120"/>
      <c r="AK107" s="120"/>
      <c r="AL107" s="120"/>
      <c r="AM107" s="120"/>
      <c r="AN107" s="120"/>
      <c r="AO107" s="120"/>
    </row>
    <row r="108" spans="1:41" ht="14.1" customHeight="1" x14ac:dyDescent="0.2">
      <c r="A108" s="24"/>
      <c r="B108" s="14" t="s">
        <v>23</v>
      </c>
      <c r="C108" s="122">
        <f>Produksi!D112</f>
        <v>0</v>
      </c>
      <c r="D108" s="122">
        <f>Produksi!F112</f>
        <v>0</v>
      </c>
      <c r="E108" s="123" t="e">
        <f>#REF!</f>
        <v>#REF!</v>
      </c>
      <c r="F108" s="124" t="e">
        <f>#REF!+#REF!</f>
        <v>#REF!</v>
      </c>
      <c r="G108" s="124"/>
      <c r="H108" s="124" t="e">
        <f t="shared" si="18"/>
        <v>#REF!</v>
      </c>
      <c r="I108" s="124">
        <f>'Pemakaian Dalam Negeri'!E116</f>
        <v>0</v>
      </c>
      <c r="J108" s="125">
        <f>'Pemakaian Dalam Negeri'!F116</f>
        <v>0</v>
      </c>
      <c r="K108" s="124">
        <f>'Pemakaian Dalam Negeri'!G116</f>
        <v>0</v>
      </c>
      <c r="L108" s="124">
        <f>'Pemakaian Dalam Negeri'!H116</f>
        <v>12.05</v>
      </c>
      <c r="M108" s="124">
        <f>'Pemakaian Dalam Negeri'!I116</f>
        <v>0</v>
      </c>
      <c r="N108" s="124">
        <f>'Pemakaian Dalam Negeri'!J116</f>
        <v>487.95</v>
      </c>
      <c r="O108" s="124" t="e">
        <f t="shared" si="10"/>
        <v>#REF!</v>
      </c>
      <c r="P108" s="124" t="e">
        <f t="shared" si="11"/>
        <v>#REF!</v>
      </c>
      <c r="Q108" s="126" t="e">
        <f t="shared" si="13"/>
        <v>#REF!</v>
      </c>
      <c r="R108" s="126" t="e">
        <f t="shared" si="14"/>
        <v>#REF!</v>
      </c>
      <c r="S108" s="126" t="e">
        <f t="shared" si="15"/>
        <v>#REF!</v>
      </c>
      <c r="T108" s="126" t="e">
        <f t="shared" si="16"/>
        <v>#REF!</v>
      </c>
      <c r="U108" s="127" t="e">
        <f t="shared" si="17"/>
        <v>#REF!</v>
      </c>
      <c r="V108" s="135"/>
      <c r="W108" s="136">
        <v>100</v>
      </c>
      <c r="X108" s="137"/>
      <c r="Y108" s="137"/>
      <c r="Z108" s="137"/>
      <c r="AA108" s="136"/>
      <c r="AB108" s="170">
        <v>2.41</v>
      </c>
      <c r="AC108" s="141">
        <f t="shared" si="19"/>
        <v>97.59</v>
      </c>
      <c r="AD108" s="119">
        <v>100</v>
      </c>
      <c r="AE108" s="131">
        <v>98</v>
      </c>
      <c r="AF108" s="131">
        <v>6.7</v>
      </c>
      <c r="AG108" s="131">
        <v>0.4</v>
      </c>
      <c r="AH108" s="120"/>
      <c r="AI108" s="120"/>
      <c r="AJ108" s="120"/>
      <c r="AK108" s="120"/>
      <c r="AL108" s="120"/>
      <c r="AM108" s="120"/>
      <c r="AN108" s="120"/>
      <c r="AO108" s="120"/>
    </row>
    <row r="109" spans="1:41" s="163" customFormat="1" x14ac:dyDescent="0.2">
      <c r="A109" s="29"/>
      <c r="B109" s="14" t="s">
        <v>24</v>
      </c>
      <c r="C109" s="122">
        <f>Produksi!D113</f>
        <v>0</v>
      </c>
      <c r="D109" s="122">
        <f>Produksi!F113</f>
        <v>0</v>
      </c>
      <c r="E109" s="123" t="e">
        <f>#REF!</f>
        <v>#REF!</v>
      </c>
      <c r="F109" s="124" t="e">
        <f>#REF!+#REF!</f>
        <v>#REF!</v>
      </c>
      <c r="G109" s="124"/>
      <c r="H109" s="124" t="e">
        <f t="shared" si="18"/>
        <v>#REF!</v>
      </c>
      <c r="I109" s="124">
        <f>'Pemakaian Dalam Negeri'!E117</f>
        <v>0</v>
      </c>
      <c r="J109" s="125">
        <f>'Pemakaian Dalam Negeri'!F117</f>
        <v>0</v>
      </c>
      <c r="K109" s="124">
        <f>'Pemakaian Dalam Negeri'!G117</f>
        <v>0</v>
      </c>
      <c r="L109" s="124">
        <f>'Pemakaian Dalam Negeri'!H117</f>
        <v>0</v>
      </c>
      <c r="M109" s="124">
        <f>'Pemakaian Dalam Negeri'!I117</f>
        <v>0</v>
      </c>
      <c r="N109" s="124">
        <f>'Pemakaian Dalam Negeri'!J117</f>
        <v>0</v>
      </c>
      <c r="O109" s="124" t="e">
        <f t="shared" si="10"/>
        <v>#REF!</v>
      </c>
      <c r="P109" s="124" t="e">
        <f t="shared" si="11"/>
        <v>#REF!</v>
      </c>
      <c r="Q109" s="126" t="e">
        <f t="shared" si="13"/>
        <v>#REF!</v>
      </c>
      <c r="R109" s="126" t="e">
        <f t="shared" si="14"/>
        <v>#REF!</v>
      </c>
      <c r="S109" s="126" t="e">
        <f t="shared" si="15"/>
        <v>#REF!</v>
      </c>
      <c r="T109" s="126" t="e">
        <f t="shared" si="16"/>
        <v>#REF!</v>
      </c>
      <c r="U109" s="127" t="e">
        <f t="shared" si="17"/>
        <v>#REF!</v>
      </c>
      <c r="W109" s="136">
        <v>100</v>
      </c>
      <c r="AB109" s="170">
        <v>2.41</v>
      </c>
      <c r="AC109" s="141">
        <f t="shared" si="19"/>
        <v>97.59</v>
      </c>
      <c r="AD109" s="119">
        <v>100</v>
      </c>
      <c r="AE109" s="131">
        <v>18</v>
      </c>
      <c r="AF109" s="131">
        <v>1.2</v>
      </c>
      <c r="AG109" s="131">
        <v>0.2</v>
      </c>
      <c r="AH109" s="120"/>
      <c r="AI109" s="120"/>
      <c r="AJ109" s="120"/>
      <c r="AK109" s="120"/>
      <c r="AL109" s="120"/>
      <c r="AM109" s="120"/>
    </row>
    <row r="110" spans="1:41" ht="14.1" customHeight="1" x14ac:dyDescent="0.2">
      <c r="A110" s="29"/>
      <c r="B110" s="14" t="s">
        <v>25</v>
      </c>
      <c r="C110" s="122">
        <f>Produksi!D114</f>
        <v>0</v>
      </c>
      <c r="D110" s="122">
        <f>Produksi!F114</f>
        <v>0</v>
      </c>
      <c r="E110" s="123" t="e">
        <f>#REF!</f>
        <v>#REF!</v>
      </c>
      <c r="F110" s="124" t="e">
        <f>#REF!+#REF!</f>
        <v>#REF!</v>
      </c>
      <c r="G110" s="124"/>
      <c r="H110" s="124" t="e">
        <f t="shared" si="18"/>
        <v>#REF!</v>
      </c>
      <c r="I110" s="124">
        <f>'Pemakaian Dalam Negeri'!E118</f>
        <v>0</v>
      </c>
      <c r="J110" s="125">
        <f>'Pemakaian Dalam Negeri'!F118</f>
        <v>0</v>
      </c>
      <c r="K110" s="124">
        <f>'Pemakaian Dalam Negeri'!G118</f>
        <v>0</v>
      </c>
      <c r="L110" s="124">
        <f>'Pemakaian Dalam Negeri'!H118</f>
        <v>0</v>
      </c>
      <c r="M110" s="124">
        <f>'Pemakaian Dalam Negeri'!I118</f>
        <v>0</v>
      </c>
      <c r="N110" s="124">
        <f>'Pemakaian Dalam Negeri'!J118</f>
        <v>0</v>
      </c>
      <c r="O110" s="124" t="e">
        <f t="shared" si="10"/>
        <v>#REF!</v>
      </c>
      <c r="P110" s="124" t="e">
        <f t="shared" si="11"/>
        <v>#REF!</v>
      </c>
      <c r="Q110" s="126" t="e">
        <f t="shared" si="13"/>
        <v>#REF!</v>
      </c>
      <c r="R110" s="126" t="e">
        <f t="shared" si="14"/>
        <v>#REF!</v>
      </c>
      <c r="S110" s="126" t="e">
        <f t="shared" si="15"/>
        <v>#REF!</v>
      </c>
      <c r="T110" s="126" t="e">
        <f t="shared" si="16"/>
        <v>#REF!</v>
      </c>
      <c r="U110" s="127" t="e">
        <f t="shared" si="17"/>
        <v>#REF!</v>
      </c>
      <c r="V110" s="135"/>
      <c r="W110" s="136">
        <v>100</v>
      </c>
      <c r="X110" s="137"/>
      <c r="Y110" s="137"/>
      <c r="Z110" s="137"/>
      <c r="AA110" s="136"/>
      <c r="AB110" s="170">
        <v>2.41</v>
      </c>
      <c r="AC110" s="141">
        <f t="shared" si="19"/>
        <v>97.59</v>
      </c>
      <c r="AD110" s="119">
        <v>100</v>
      </c>
      <c r="AE110" s="131">
        <v>100</v>
      </c>
      <c r="AF110" s="131">
        <v>23</v>
      </c>
      <c r="AG110" s="131">
        <v>2.6</v>
      </c>
      <c r="AH110" s="120"/>
      <c r="AI110" s="120"/>
      <c r="AJ110" s="120"/>
      <c r="AK110" s="120"/>
      <c r="AL110" s="120"/>
      <c r="AM110" s="120"/>
      <c r="AN110" s="120"/>
      <c r="AO110" s="120"/>
    </row>
    <row r="111" spans="1:41" ht="14.1" customHeight="1" x14ac:dyDescent="0.2">
      <c r="A111" s="29"/>
      <c r="B111" s="14" t="s">
        <v>26</v>
      </c>
      <c r="C111" s="122">
        <f>Produksi!D115</f>
        <v>0</v>
      </c>
      <c r="D111" s="122">
        <f>Produksi!F115</f>
        <v>0</v>
      </c>
      <c r="E111" s="123" t="e">
        <f>#REF!</f>
        <v>#REF!</v>
      </c>
      <c r="F111" s="124" t="e">
        <f>#REF!+#REF!</f>
        <v>#REF!</v>
      </c>
      <c r="G111" s="124"/>
      <c r="H111" s="124" t="e">
        <f t="shared" si="18"/>
        <v>#REF!</v>
      </c>
      <c r="I111" s="124">
        <f>'Pemakaian Dalam Negeri'!E119</f>
        <v>0</v>
      </c>
      <c r="J111" s="125">
        <f>'Pemakaian Dalam Negeri'!F119</f>
        <v>0</v>
      </c>
      <c r="K111" s="124">
        <f>'Pemakaian Dalam Negeri'!G119</f>
        <v>0</v>
      </c>
      <c r="L111" s="124">
        <f>'Pemakaian Dalam Negeri'!H119</f>
        <v>0</v>
      </c>
      <c r="M111" s="124">
        <f>'Pemakaian Dalam Negeri'!I119</f>
        <v>0</v>
      </c>
      <c r="N111" s="124">
        <f>'Pemakaian Dalam Negeri'!J119</f>
        <v>0</v>
      </c>
      <c r="O111" s="124" t="e">
        <f t="shared" si="10"/>
        <v>#REF!</v>
      </c>
      <c r="P111" s="124" t="e">
        <f t="shared" si="11"/>
        <v>#REF!</v>
      </c>
      <c r="Q111" s="126" t="e">
        <f t="shared" si="13"/>
        <v>#REF!</v>
      </c>
      <c r="R111" s="126" t="e">
        <f t="shared" si="14"/>
        <v>#REF!</v>
      </c>
      <c r="S111" s="126" t="e">
        <f t="shared" si="15"/>
        <v>#REF!</v>
      </c>
      <c r="T111" s="126" t="e">
        <f t="shared" si="16"/>
        <v>#REF!</v>
      </c>
      <c r="U111" s="127" t="e">
        <f t="shared" si="17"/>
        <v>#REF!</v>
      </c>
      <c r="V111" s="135"/>
      <c r="W111" s="136"/>
      <c r="X111" s="137"/>
      <c r="Y111" s="137"/>
      <c r="Z111" s="137"/>
      <c r="AA111" s="136"/>
      <c r="AB111" s="42"/>
      <c r="AC111" s="141"/>
      <c r="AD111" s="119">
        <v>100</v>
      </c>
      <c r="AE111" s="131">
        <v>23</v>
      </c>
      <c r="AF111" s="131">
        <v>1</v>
      </c>
      <c r="AG111" s="131">
        <v>0.1</v>
      </c>
      <c r="AH111" s="120"/>
      <c r="AI111" s="120"/>
      <c r="AJ111" s="120"/>
      <c r="AK111" s="120"/>
      <c r="AL111" s="120"/>
      <c r="AM111" s="120"/>
      <c r="AN111" s="120"/>
      <c r="AO111" s="120"/>
    </row>
    <row r="112" spans="1:41" ht="14.1" customHeight="1" x14ac:dyDescent="0.2">
      <c r="A112" s="24"/>
      <c r="B112" s="30" t="s">
        <v>27</v>
      </c>
      <c r="C112" s="122" t="e">
        <f>Produksi!#REF!</f>
        <v>#REF!</v>
      </c>
      <c r="D112" s="122" t="e">
        <f>Produksi!#REF!</f>
        <v>#REF!</v>
      </c>
      <c r="E112" s="123" t="e">
        <f>#REF!</f>
        <v>#REF!</v>
      </c>
      <c r="F112" s="124" t="e">
        <f>#REF!+#REF!</f>
        <v>#REF!</v>
      </c>
      <c r="G112" s="124"/>
      <c r="H112" s="124" t="e">
        <f t="shared" si="18"/>
        <v>#REF!</v>
      </c>
      <c r="I112" s="124">
        <f>'Pemakaian Dalam Negeri'!E120</f>
        <v>0</v>
      </c>
      <c r="J112" s="125">
        <f>'Pemakaian Dalam Negeri'!F120</f>
        <v>0</v>
      </c>
      <c r="K112" s="124">
        <f>'Pemakaian Dalam Negeri'!G120</f>
        <v>0</v>
      </c>
      <c r="L112" s="124">
        <f>'Pemakaian Dalam Negeri'!H120</f>
        <v>0</v>
      </c>
      <c r="M112" s="124">
        <f>'Pemakaian Dalam Negeri'!I120</f>
        <v>0</v>
      </c>
      <c r="N112" s="124">
        <f>'Pemakaian Dalam Negeri'!J120</f>
        <v>0</v>
      </c>
      <c r="O112" s="124" t="e">
        <f t="shared" si="10"/>
        <v>#REF!</v>
      </c>
      <c r="P112" s="124" t="e">
        <f t="shared" si="11"/>
        <v>#REF!</v>
      </c>
      <c r="Q112" s="126" t="e">
        <f t="shared" si="13"/>
        <v>#REF!</v>
      </c>
      <c r="R112" s="126" t="e">
        <f t="shared" si="14"/>
        <v>#REF!</v>
      </c>
      <c r="S112" s="126" t="e">
        <f t="shared" si="15"/>
        <v>#REF!</v>
      </c>
      <c r="T112" s="126" t="e">
        <f t="shared" si="16"/>
        <v>#REF!</v>
      </c>
      <c r="U112" s="127" t="e">
        <f t="shared" si="17"/>
        <v>#REF!</v>
      </c>
      <c r="V112" s="135"/>
      <c r="W112" s="136"/>
      <c r="X112" s="137"/>
      <c r="Y112" s="137"/>
      <c r="Z112" s="137"/>
      <c r="AA112" s="136">
        <v>0</v>
      </c>
      <c r="AB112" s="137"/>
      <c r="AC112" s="141"/>
      <c r="AD112" s="163">
        <v>87.5</v>
      </c>
      <c r="AE112" s="163">
        <v>43</v>
      </c>
      <c r="AF112" s="163">
        <v>1.4</v>
      </c>
      <c r="AG112" s="163">
        <v>0.2</v>
      </c>
      <c r="AH112" s="163"/>
      <c r="AI112" s="163"/>
      <c r="AJ112" s="163"/>
      <c r="AK112" s="163"/>
      <c r="AL112" s="163"/>
      <c r="AM112" s="163"/>
      <c r="AN112" s="120"/>
      <c r="AO112" s="120"/>
    </row>
    <row r="113" spans="1:41" ht="14.1" customHeight="1" x14ac:dyDescent="0.2">
      <c r="A113" s="29"/>
      <c r="B113" s="21" t="s">
        <v>173</v>
      </c>
      <c r="C113" s="122">
        <f>Produksi!D116</f>
        <v>0</v>
      </c>
      <c r="D113" s="122">
        <f>Produksi!F116</f>
        <v>0</v>
      </c>
      <c r="E113" s="123" t="e">
        <f>#REF!</f>
        <v>#REF!</v>
      </c>
      <c r="F113" s="124" t="e">
        <f>#REF!+#REF!</f>
        <v>#REF!</v>
      </c>
      <c r="G113" s="124"/>
      <c r="H113" s="124" t="e">
        <f t="shared" si="18"/>
        <v>#REF!</v>
      </c>
      <c r="I113" s="124">
        <f>'Pemakaian Dalam Negeri'!E121</f>
        <v>0</v>
      </c>
      <c r="J113" s="125">
        <f>'Pemakaian Dalam Negeri'!F121</f>
        <v>0</v>
      </c>
      <c r="K113" s="124">
        <f>'Pemakaian Dalam Negeri'!G121</f>
        <v>0</v>
      </c>
      <c r="L113" s="124">
        <f>'Pemakaian Dalam Negeri'!H121</f>
        <v>0</v>
      </c>
      <c r="M113" s="124">
        <f>'Pemakaian Dalam Negeri'!I121</f>
        <v>0</v>
      </c>
      <c r="N113" s="124">
        <f>'Pemakaian Dalam Negeri'!J121</f>
        <v>0</v>
      </c>
      <c r="O113" s="124" t="e">
        <f t="shared" si="10"/>
        <v>#REF!</v>
      </c>
      <c r="P113" s="124" t="e">
        <f t="shared" si="11"/>
        <v>#REF!</v>
      </c>
      <c r="Q113" s="126" t="e">
        <f t="shared" si="13"/>
        <v>#REF!</v>
      </c>
      <c r="R113" s="126" t="e">
        <f t="shared" si="14"/>
        <v>#REF!</v>
      </c>
      <c r="S113" s="126" t="e">
        <f t="shared" si="15"/>
        <v>#REF!</v>
      </c>
      <c r="T113" s="126" t="e">
        <f t="shared" si="16"/>
        <v>#REF!</v>
      </c>
      <c r="U113" s="127" t="e">
        <f t="shared" si="17"/>
        <v>#REF!</v>
      </c>
      <c r="V113" s="135"/>
      <c r="W113" s="136">
        <v>100</v>
      </c>
      <c r="X113" s="136">
        <v>0</v>
      </c>
      <c r="Y113" s="136">
        <v>0</v>
      </c>
      <c r="Z113" s="136">
        <v>0</v>
      </c>
      <c r="AA113" s="136">
        <v>0</v>
      </c>
      <c r="AB113" s="42">
        <v>0.08</v>
      </c>
      <c r="AC113" s="173">
        <f t="shared" ref="AC113:AC120" si="20">W113-X113-Y113-Z113-AA113-AB113</f>
        <v>99.92</v>
      </c>
      <c r="AD113" s="119"/>
      <c r="AE113" s="131"/>
      <c r="AF113" s="131"/>
      <c r="AG113" s="131"/>
      <c r="AH113" s="120"/>
      <c r="AI113" s="120"/>
      <c r="AJ113" s="120"/>
      <c r="AK113" s="120"/>
      <c r="AL113" s="120"/>
      <c r="AM113" s="120"/>
      <c r="AN113" s="120"/>
      <c r="AO113" s="120"/>
    </row>
    <row r="114" spans="1:41" ht="14.1" customHeight="1" x14ac:dyDescent="0.2">
      <c r="A114" s="29"/>
      <c r="B114" s="4"/>
      <c r="C114" s="122">
        <f>Produksi!D117</f>
        <v>0</v>
      </c>
      <c r="D114" s="122">
        <f>Produksi!F117</f>
        <v>0</v>
      </c>
      <c r="E114" s="123" t="e">
        <f>#REF!</f>
        <v>#REF!</v>
      </c>
      <c r="F114" s="124" t="e">
        <f>#REF!+#REF!</f>
        <v>#REF!</v>
      </c>
      <c r="G114" s="124"/>
      <c r="H114" s="124" t="e">
        <f t="shared" si="18"/>
        <v>#REF!</v>
      </c>
      <c r="I114" s="124"/>
      <c r="J114" s="125"/>
      <c r="K114" s="124"/>
      <c r="L114" s="124"/>
      <c r="M114" s="124"/>
      <c r="N114" s="124"/>
      <c r="O114" s="124" t="e">
        <f t="shared" si="10"/>
        <v>#REF!</v>
      </c>
      <c r="P114" s="124" t="e">
        <f t="shared" si="11"/>
        <v>#REF!</v>
      </c>
      <c r="Q114" s="126"/>
      <c r="R114" s="126"/>
      <c r="S114" s="126"/>
      <c r="T114" s="126"/>
      <c r="U114" s="127"/>
      <c r="V114" s="135"/>
      <c r="W114" s="136">
        <v>100</v>
      </c>
      <c r="X114" s="136">
        <v>0</v>
      </c>
      <c r="Y114" s="136">
        <v>0</v>
      </c>
      <c r="Z114" s="136">
        <v>0</v>
      </c>
      <c r="AA114" s="41">
        <v>0</v>
      </c>
      <c r="AB114" s="42">
        <v>0.08</v>
      </c>
      <c r="AC114" s="141">
        <f t="shared" si="20"/>
        <v>99.92</v>
      </c>
      <c r="AD114" s="119"/>
      <c r="AE114" s="131"/>
      <c r="AF114" s="131"/>
      <c r="AG114" s="131"/>
      <c r="AH114" s="120"/>
      <c r="AI114" s="120"/>
      <c r="AJ114" s="120"/>
      <c r="AK114" s="120"/>
      <c r="AL114" s="120"/>
      <c r="AM114" s="120"/>
      <c r="AN114" s="120"/>
      <c r="AO114" s="120"/>
    </row>
    <row r="115" spans="1:41" ht="14.1" customHeight="1" thickBot="1" x14ac:dyDescent="0.25">
      <c r="A115" s="15" t="s">
        <v>116</v>
      </c>
      <c r="B115" s="4"/>
      <c r="C115" s="122">
        <f>Produksi!D118</f>
        <v>0</v>
      </c>
      <c r="D115" s="122">
        <f>Produksi!F118</f>
        <v>0</v>
      </c>
      <c r="E115" s="123" t="e">
        <f>#REF!</f>
        <v>#REF!</v>
      </c>
      <c r="F115" s="124" t="e">
        <f>#REF!+#REF!</f>
        <v>#REF!</v>
      </c>
      <c r="G115" s="124"/>
      <c r="H115" s="124" t="e">
        <f t="shared" si="18"/>
        <v>#REF!</v>
      </c>
      <c r="I115" s="124">
        <f>'Pemakaian Dalam Negeri'!E122</f>
        <v>0</v>
      </c>
      <c r="J115" s="125">
        <f>'Pemakaian Dalam Negeri'!F122</f>
        <v>0</v>
      </c>
      <c r="K115" s="124">
        <f>'Pemakaian Dalam Negeri'!G122</f>
        <v>0</v>
      </c>
      <c r="L115" s="124">
        <f>'Pemakaian Dalam Negeri'!H122</f>
        <v>0</v>
      </c>
      <c r="M115" s="124">
        <f>'Pemakaian Dalam Negeri'!I122</f>
        <v>0</v>
      </c>
      <c r="N115" s="124">
        <f>'Pemakaian Dalam Negeri'!J122</f>
        <v>0</v>
      </c>
      <c r="O115" s="124" t="e">
        <f t="shared" si="10"/>
        <v>#REF!</v>
      </c>
      <c r="P115" s="124" t="e">
        <f t="shared" si="11"/>
        <v>#REF!</v>
      </c>
      <c r="Q115" s="126"/>
      <c r="R115" s="126"/>
      <c r="S115" s="143" t="e">
        <f>SUM(S116:S126)</f>
        <v>#REF!</v>
      </c>
      <c r="T115" s="143" t="e">
        <f>SUM(T116:T126)</f>
        <v>#REF!</v>
      </c>
      <c r="U115" s="143" t="e">
        <f>SUM(U116:U126)</f>
        <v>#REF!</v>
      </c>
      <c r="V115" s="135"/>
      <c r="W115" s="136">
        <v>100</v>
      </c>
      <c r="X115" s="136">
        <v>0</v>
      </c>
      <c r="Y115" s="136">
        <v>0</v>
      </c>
      <c r="Z115" s="136">
        <v>0</v>
      </c>
      <c r="AA115" s="136">
        <v>0</v>
      </c>
      <c r="AB115" s="42">
        <v>0.08</v>
      </c>
      <c r="AC115" s="141">
        <f t="shared" si="20"/>
        <v>99.92</v>
      </c>
      <c r="AD115" s="119"/>
      <c r="AE115" s="131"/>
      <c r="AF115" s="131"/>
      <c r="AG115" s="131"/>
      <c r="AH115" s="120"/>
      <c r="AI115" s="120"/>
      <c r="AJ115" s="120"/>
      <c r="AK115" s="120"/>
      <c r="AL115" s="120"/>
      <c r="AM115" s="120"/>
      <c r="AN115" s="120"/>
      <c r="AO115" s="120"/>
    </row>
    <row r="116" spans="1:41" ht="14.1" customHeight="1" x14ac:dyDescent="0.2">
      <c r="A116" s="31"/>
      <c r="B116" s="4" t="s">
        <v>117</v>
      </c>
      <c r="C116" s="122">
        <f>Produksi!D119</f>
        <v>0</v>
      </c>
      <c r="D116" s="122">
        <f>Produksi!F119</f>
        <v>1282.0047144740035</v>
      </c>
      <c r="E116" s="123" t="e">
        <f>#REF!</f>
        <v>#REF!</v>
      </c>
      <c r="F116" s="124" t="e">
        <f>#REF!+#REF!</f>
        <v>#REF!</v>
      </c>
      <c r="G116" s="124"/>
      <c r="H116" s="124" t="e">
        <f t="shared" si="18"/>
        <v>#REF!</v>
      </c>
      <c r="I116" s="124">
        <f>'Pemakaian Dalam Negeri'!E123</f>
        <v>0</v>
      </c>
      <c r="J116" s="125">
        <f>'Pemakaian Dalam Negeri'!F123</f>
        <v>0</v>
      </c>
      <c r="K116" s="124">
        <f>'Pemakaian Dalam Negeri'!G123</f>
        <v>0</v>
      </c>
      <c r="L116" s="124">
        <f>'Pemakaian Dalam Negeri'!H123</f>
        <v>0</v>
      </c>
      <c r="M116" s="124">
        <f>'Pemakaian Dalam Negeri'!I123</f>
        <v>0</v>
      </c>
      <c r="N116" s="124">
        <f>'Pemakaian Dalam Negeri'!J123</f>
        <v>0</v>
      </c>
      <c r="O116" s="124" t="e">
        <f t="shared" si="10"/>
        <v>#REF!</v>
      </c>
      <c r="P116" s="124" t="e">
        <f t="shared" si="11"/>
        <v>#REF!</v>
      </c>
      <c r="Q116" s="126" t="e">
        <f t="shared" si="13"/>
        <v>#REF!</v>
      </c>
      <c r="R116" s="126" t="e">
        <f t="shared" si="14"/>
        <v>#REF!</v>
      </c>
      <c r="S116" s="126" t="e">
        <f t="shared" si="15"/>
        <v>#REF!</v>
      </c>
      <c r="T116" s="126" t="e">
        <f t="shared" si="16"/>
        <v>#REF!</v>
      </c>
      <c r="U116" s="127" t="e">
        <f t="shared" si="17"/>
        <v>#REF!</v>
      </c>
      <c r="V116" s="128"/>
      <c r="W116" s="41">
        <v>100</v>
      </c>
      <c r="X116" s="41">
        <v>0</v>
      </c>
      <c r="Y116" s="41">
        <v>0</v>
      </c>
      <c r="Z116" s="41">
        <v>0</v>
      </c>
      <c r="AA116" s="41">
        <v>0</v>
      </c>
      <c r="AB116" s="42">
        <v>0.08</v>
      </c>
      <c r="AC116" s="141">
        <f t="shared" si="20"/>
        <v>99.92</v>
      </c>
      <c r="AD116" s="119">
        <v>100</v>
      </c>
      <c r="AE116" s="131">
        <v>207</v>
      </c>
      <c r="AF116" s="131">
        <v>18.8</v>
      </c>
      <c r="AG116" s="131">
        <v>14</v>
      </c>
      <c r="AH116" s="120">
        <v>30</v>
      </c>
      <c r="AI116" s="120">
        <v>0.08</v>
      </c>
      <c r="AJ116" s="120">
        <v>0</v>
      </c>
      <c r="AK116" s="120">
        <v>11</v>
      </c>
      <c r="AL116" s="120">
        <v>170</v>
      </c>
      <c r="AM116" s="120">
        <v>2.8</v>
      </c>
      <c r="AN116" s="120"/>
      <c r="AO116" s="120"/>
    </row>
    <row r="117" spans="1:41" ht="14.1" customHeight="1" x14ac:dyDescent="0.2">
      <c r="A117" s="31"/>
      <c r="B117" s="4" t="s">
        <v>118</v>
      </c>
      <c r="C117" s="122">
        <f>Produksi!D122</f>
        <v>192.29907048039999</v>
      </c>
      <c r="D117" s="122">
        <f>Produksi!F122</f>
        <v>138.70531953751254</v>
      </c>
      <c r="E117" s="123" t="e">
        <f>#REF!</f>
        <v>#REF!</v>
      </c>
      <c r="F117" s="124" t="e">
        <f>#REF!+#REF!</f>
        <v>#REF!</v>
      </c>
      <c r="G117" s="124"/>
      <c r="H117" s="124" t="e">
        <f t="shared" si="18"/>
        <v>#REF!</v>
      </c>
      <c r="I117" s="124">
        <f>'Pemakaian Dalam Negeri'!E124</f>
        <v>0</v>
      </c>
      <c r="J117" s="125">
        <f>'Pemakaian Dalam Negeri'!F124</f>
        <v>0</v>
      </c>
      <c r="K117" s="124">
        <f>'Pemakaian Dalam Negeri'!G124</f>
        <v>0</v>
      </c>
      <c r="L117" s="124">
        <f>'Pemakaian Dalam Negeri'!H124</f>
        <v>0</v>
      </c>
      <c r="M117" s="124">
        <f>'Pemakaian Dalam Negeri'!I124</f>
        <v>0</v>
      </c>
      <c r="N117" s="124">
        <f>'Pemakaian Dalam Negeri'!J124</f>
        <v>0</v>
      </c>
      <c r="O117" s="124" t="e">
        <f t="shared" si="10"/>
        <v>#REF!</v>
      </c>
      <c r="P117" s="124" t="e">
        <f t="shared" si="11"/>
        <v>#REF!</v>
      </c>
      <c r="Q117" s="126" t="e">
        <f t="shared" si="13"/>
        <v>#REF!</v>
      </c>
      <c r="R117" s="126" t="e">
        <f t="shared" si="14"/>
        <v>#REF!</v>
      </c>
      <c r="S117" s="126" t="e">
        <f t="shared" si="15"/>
        <v>#REF!</v>
      </c>
      <c r="T117" s="126" t="e">
        <f t="shared" si="16"/>
        <v>#REF!</v>
      </c>
      <c r="U117" s="127" t="e">
        <f t="shared" si="17"/>
        <v>#REF!</v>
      </c>
      <c r="V117" s="135"/>
      <c r="W117" s="136">
        <v>100</v>
      </c>
      <c r="X117" s="136">
        <v>0</v>
      </c>
      <c r="Y117" s="136">
        <v>0</v>
      </c>
      <c r="Z117" s="136">
        <v>0</v>
      </c>
      <c r="AA117" s="41">
        <v>0</v>
      </c>
      <c r="AB117" s="42">
        <v>0.08</v>
      </c>
      <c r="AC117" s="141">
        <f t="shared" si="20"/>
        <v>99.92</v>
      </c>
      <c r="AD117" s="119">
        <v>100</v>
      </c>
      <c r="AE117" s="131">
        <v>84</v>
      </c>
      <c r="AF117" s="131">
        <v>18.7</v>
      </c>
      <c r="AG117" s="131">
        <v>0.5</v>
      </c>
      <c r="AH117" s="120">
        <v>0</v>
      </c>
      <c r="AI117" s="120">
        <v>0.02</v>
      </c>
      <c r="AJ117" s="120">
        <v>0</v>
      </c>
      <c r="AK117" s="120">
        <v>7</v>
      </c>
      <c r="AL117" s="120">
        <v>151</v>
      </c>
      <c r="AM117" s="120">
        <v>2</v>
      </c>
      <c r="AN117" s="120"/>
      <c r="AO117" s="120"/>
    </row>
    <row r="118" spans="1:41" ht="14.1" customHeight="1" x14ac:dyDescent="0.2">
      <c r="A118" s="31"/>
      <c r="B118" s="4" t="s">
        <v>119</v>
      </c>
      <c r="C118" s="122">
        <f>Produksi!D123</f>
        <v>64.02222026199999</v>
      </c>
      <c r="D118" s="122">
        <f>Produksi!F123</f>
        <v>43.426272003714594</v>
      </c>
      <c r="E118" s="123" t="e">
        <f>#REF!</f>
        <v>#REF!</v>
      </c>
      <c r="F118" s="124" t="e">
        <f>#REF!+#REF!</f>
        <v>#REF!</v>
      </c>
      <c r="G118" s="124"/>
      <c r="H118" s="124" t="e">
        <f t="shared" si="18"/>
        <v>#REF!</v>
      </c>
      <c r="I118" s="124">
        <f>'Pemakaian Dalam Negeri'!E125</f>
        <v>0</v>
      </c>
      <c r="J118" s="125">
        <f>'Pemakaian Dalam Negeri'!F125</f>
        <v>0</v>
      </c>
      <c r="K118" s="124">
        <f>'Pemakaian Dalam Negeri'!G125</f>
        <v>0</v>
      </c>
      <c r="L118" s="124">
        <f>'Pemakaian Dalam Negeri'!H125</f>
        <v>1.4360037715792029</v>
      </c>
      <c r="M118" s="124">
        <f>'Pemakaian Dalam Negeri'!I125</f>
        <v>0</v>
      </c>
      <c r="N118" s="124">
        <f>'Pemakaian Dalam Negeri'!J125</f>
        <v>1793.5687107024244</v>
      </c>
      <c r="O118" s="124" t="e">
        <f t="shared" si="10"/>
        <v>#REF!</v>
      </c>
      <c r="P118" s="124" t="e">
        <f t="shared" si="11"/>
        <v>#REF!</v>
      </c>
      <c r="Q118" s="126" t="e">
        <f t="shared" si="13"/>
        <v>#REF!</v>
      </c>
      <c r="R118" s="126" t="e">
        <f t="shared" si="14"/>
        <v>#REF!</v>
      </c>
      <c r="S118" s="126" t="e">
        <f t="shared" si="15"/>
        <v>#REF!</v>
      </c>
      <c r="T118" s="126" t="e">
        <f t="shared" si="16"/>
        <v>#REF!</v>
      </c>
      <c r="U118" s="127" t="e">
        <f t="shared" si="17"/>
        <v>#REF!</v>
      </c>
      <c r="V118" s="128"/>
      <c r="W118" s="41">
        <v>100</v>
      </c>
      <c r="X118" s="41">
        <v>0</v>
      </c>
      <c r="Y118" s="41">
        <v>0</v>
      </c>
      <c r="Z118" s="41">
        <v>0</v>
      </c>
      <c r="AA118" s="151"/>
      <c r="AB118" s="42">
        <v>0.08</v>
      </c>
      <c r="AC118" s="141">
        <f t="shared" si="20"/>
        <v>99.92</v>
      </c>
      <c r="AD118" s="119">
        <v>100</v>
      </c>
      <c r="AE118" s="131">
        <v>154</v>
      </c>
      <c r="AF118" s="131">
        <v>16.600000000000001</v>
      </c>
      <c r="AG118" s="131">
        <v>9.1999999999999993</v>
      </c>
      <c r="AH118" s="120">
        <v>0</v>
      </c>
      <c r="AI118" s="120">
        <v>0.09</v>
      </c>
      <c r="AJ118" s="120">
        <v>0</v>
      </c>
      <c r="AK118" s="120">
        <v>11</v>
      </c>
      <c r="AL118" s="120">
        <v>124</v>
      </c>
      <c r="AM118" s="120">
        <v>1</v>
      </c>
      <c r="AN118" s="120"/>
      <c r="AO118" s="120"/>
    </row>
    <row r="119" spans="1:41" ht="14.1" customHeight="1" x14ac:dyDescent="0.2">
      <c r="A119" s="31"/>
      <c r="B119" s="4" t="s">
        <v>120</v>
      </c>
      <c r="C119" s="122">
        <f>Produksi!D124</f>
        <v>0</v>
      </c>
      <c r="D119" s="122">
        <f>Produksi!F124</f>
        <v>0</v>
      </c>
      <c r="E119" s="123" t="e">
        <f>#REF!</f>
        <v>#REF!</v>
      </c>
      <c r="F119" s="124" t="e">
        <f>#REF!+#REF!</f>
        <v>#REF!</v>
      </c>
      <c r="G119" s="124"/>
      <c r="H119" s="124" t="e">
        <f t="shared" si="18"/>
        <v>#REF!</v>
      </c>
      <c r="I119" s="124">
        <f>'Pemakaian Dalam Negeri'!E126</f>
        <v>0</v>
      </c>
      <c r="J119" s="125">
        <f>'Pemakaian Dalam Negeri'!F126</f>
        <v>0</v>
      </c>
      <c r="K119" s="124">
        <f>'Pemakaian Dalam Negeri'!G126</f>
        <v>0</v>
      </c>
      <c r="L119" s="124">
        <f>'Pemakaian Dalam Negeri'!H126</f>
        <v>0.23096425563001005</v>
      </c>
      <c r="M119" s="124">
        <f>'Pemakaian Dalam Negeri'!I126</f>
        <v>0</v>
      </c>
      <c r="N119" s="124">
        <f>'Pemakaian Dalam Negeri'!J126</f>
        <v>288.47435528188254</v>
      </c>
      <c r="O119" s="124" t="e">
        <f t="shared" si="10"/>
        <v>#REF!</v>
      </c>
      <c r="P119" s="124" t="e">
        <f t="shared" si="11"/>
        <v>#REF!</v>
      </c>
      <c r="Q119" s="126" t="e">
        <f t="shared" si="13"/>
        <v>#REF!</v>
      </c>
      <c r="R119" s="126" t="e">
        <f t="shared" si="14"/>
        <v>#REF!</v>
      </c>
      <c r="S119" s="126" t="e">
        <f t="shared" si="15"/>
        <v>#REF!</v>
      </c>
      <c r="T119" s="126" t="e">
        <f t="shared" si="16"/>
        <v>#REF!</v>
      </c>
      <c r="U119" s="127" t="e">
        <f t="shared" si="17"/>
        <v>#REF!</v>
      </c>
      <c r="V119" s="128"/>
      <c r="W119" s="41">
        <v>100</v>
      </c>
      <c r="X119" s="41">
        <v>0</v>
      </c>
      <c r="Y119" s="41">
        <v>0</v>
      </c>
      <c r="Z119" s="41">
        <v>0</v>
      </c>
      <c r="AA119" s="41">
        <v>0</v>
      </c>
      <c r="AB119" s="42">
        <v>0.08</v>
      </c>
      <c r="AC119" s="141">
        <f t="shared" si="20"/>
        <v>99.92</v>
      </c>
      <c r="AD119" s="119">
        <v>100</v>
      </c>
      <c r="AE119" s="131">
        <v>260</v>
      </c>
      <c r="AF119" s="131">
        <v>16.399999999999999</v>
      </c>
      <c r="AG119" s="131">
        <v>21.3</v>
      </c>
      <c r="AH119" s="120">
        <v>0</v>
      </c>
      <c r="AI119" s="120">
        <v>0.15</v>
      </c>
      <c r="AJ119" s="120">
        <v>0</v>
      </c>
      <c r="AK119" s="120">
        <v>10</v>
      </c>
      <c r="AL119" s="120">
        <v>191</v>
      </c>
      <c r="AM119" s="120">
        <v>2.6</v>
      </c>
      <c r="AN119" s="120"/>
      <c r="AO119" s="120"/>
    </row>
    <row r="120" spans="1:41" ht="14.1" customHeight="1" x14ac:dyDescent="0.2">
      <c r="A120" s="23"/>
      <c r="B120" s="3" t="s">
        <v>121</v>
      </c>
      <c r="C120" s="122">
        <f>Produksi!D125</f>
        <v>0</v>
      </c>
      <c r="D120" s="122">
        <f>Produksi!F125</f>
        <v>0</v>
      </c>
      <c r="E120" s="123" t="e">
        <f>#REF!</f>
        <v>#REF!</v>
      </c>
      <c r="F120" s="124" t="e">
        <f>#REF!+#REF!</f>
        <v>#REF!</v>
      </c>
      <c r="G120" s="124"/>
      <c r="H120" s="124" t="e">
        <f t="shared" si="18"/>
        <v>#REF!</v>
      </c>
      <c r="I120" s="124">
        <f>'Pemakaian Dalam Negeri'!E127</f>
        <v>0</v>
      </c>
      <c r="J120" s="125">
        <f>'Pemakaian Dalam Negeri'!F127</f>
        <v>0</v>
      </c>
      <c r="K120" s="124">
        <f>'Pemakaian Dalam Negeri'!G127</f>
        <v>0</v>
      </c>
      <c r="L120" s="124">
        <f>'Pemakaian Dalam Negeri'!H127</f>
        <v>3.4741017602971679E-2</v>
      </c>
      <c r="M120" s="124">
        <f>'Pemakaian Dalam Negeri'!I127</f>
        <v>0</v>
      </c>
      <c r="N120" s="124">
        <f>'Pemakaian Dalam Negeri'!J127</f>
        <v>43.391530986111626</v>
      </c>
      <c r="O120" s="124" t="e">
        <f t="shared" si="10"/>
        <v>#REF!</v>
      </c>
      <c r="P120" s="124" t="e">
        <f t="shared" si="11"/>
        <v>#REF!</v>
      </c>
      <c r="Q120" s="126" t="e">
        <f t="shared" si="13"/>
        <v>#REF!</v>
      </c>
      <c r="R120" s="126" t="e">
        <f t="shared" si="14"/>
        <v>#REF!</v>
      </c>
      <c r="S120" s="126" t="e">
        <f t="shared" si="15"/>
        <v>#REF!</v>
      </c>
      <c r="T120" s="126" t="e">
        <f t="shared" si="16"/>
        <v>#REF!</v>
      </c>
      <c r="U120" s="127" t="e">
        <f t="shared" si="17"/>
        <v>#REF!</v>
      </c>
      <c r="V120" s="135"/>
      <c r="W120" s="136">
        <v>100</v>
      </c>
      <c r="X120" s="136">
        <v>0</v>
      </c>
      <c r="Y120" s="136">
        <v>0</v>
      </c>
      <c r="Z120" s="136">
        <v>0</v>
      </c>
      <c r="AA120" s="137"/>
      <c r="AB120" s="42">
        <v>0.08</v>
      </c>
      <c r="AC120" s="141">
        <f t="shared" si="20"/>
        <v>99.92</v>
      </c>
      <c r="AD120" s="119">
        <v>100</v>
      </c>
      <c r="AE120" s="131">
        <v>113</v>
      </c>
      <c r="AF120" s="131">
        <v>18.100000000000001</v>
      </c>
      <c r="AG120" s="131">
        <v>4.0999999999999996</v>
      </c>
      <c r="AH120" s="120">
        <v>0</v>
      </c>
      <c r="AI120" s="120">
        <v>7.0000000000000007E-2</v>
      </c>
      <c r="AJ120" s="120">
        <v>0</v>
      </c>
      <c r="AK120" s="120">
        <v>10</v>
      </c>
      <c r="AL120" s="120">
        <v>150</v>
      </c>
      <c r="AM120" s="120">
        <v>2.7</v>
      </c>
      <c r="AN120" s="120"/>
      <c r="AO120" s="120"/>
    </row>
    <row r="121" spans="1:41" ht="14.1" customHeight="1" x14ac:dyDescent="0.2">
      <c r="A121" s="31"/>
      <c r="B121" s="4" t="s">
        <v>122</v>
      </c>
      <c r="C121" s="122">
        <f>Produksi!D126</f>
        <v>0</v>
      </c>
      <c r="D121" s="122">
        <f>Produksi!F126</f>
        <v>0</v>
      </c>
      <c r="E121" s="123" t="e">
        <f>#REF!</f>
        <v>#REF!</v>
      </c>
      <c r="F121" s="124" t="e">
        <f>#REF!+#REF!</f>
        <v>#REF!</v>
      </c>
      <c r="G121" s="124"/>
      <c r="H121" s="124" t="e">
        <f t="shared" si="18"/>
        <v>#REF!</v>
      </c>
      <c r="I121" s="124">
        <f>'Pemakaian Dalam Negeri'!E128</f>
        <v>0</v>
      </c>
      <c r="J121" s="125">
        <f>'Pemakaian Dalam Negeri'!F128</f>
        <v>0</v>
      </c>
      <c r="K121" s="124">
        <f>'Pemakaian Dalam Negeri'!G128</f>
        <v>0</v>
      </c>
      <c r="L121" s="124">
        <f>'Pemakaian Dalam Negeri'!H128</f>
        <v>0</v>
      </c>
      <c r="M121" s="124">
        <f>'Pemakaian Dalam Negeri'!I128</f>
        <v>0</v>
      </c>
      <c r="N121" s="124">
        <f>'Pemakaian Dalam Negeri'!J128</f>
        <v>0</v>
      </c>
      <c r="O121" s="124" t="e">
        <f t="shared" si="10"/>
        <v>#REF!</v>
      </c>
      <c r="P121" s="124" t="e">
        <f t="shared" si="11"/>
        <v>#REF!</v>
      </c>
      <c r="Q121" s="126" t="e">
        <f t="shared" si="13"/>
        <v>#REF!</v>
      </c>
      <c r="R121" s="126" t="e">
        <f t="shared" si="14"/>
        <v>#REF!</v>
      </c>
      <c r="S121" s="126" t="e">
        <f t="shared" si="15"/>
        <v>#REF!</v>
      </c>
      <c r="T121" s="126" t="e">
        <f t="shared" si="16"/>
        <v>#REF!</v>
      </c>
      <c r="U121" s="127" t="e">
        <f t="shared" si="17"/>
        <v>#REF!</v>
      </c>
      <c r="V121" s="128"/>
      <c r="W121" s="41"/>
      <c r="X121" s="41"/>
      <c r="Y121" s="41"/>
      <c r="Z121" s="41"/>
      <c r="AA121" s="137"/>
      <c r="AB121" s="42">
        <v>0.08</v>
      </c>
      <c r="AC121" s="141"/>
      <c r="AD121" s="119">
        <v>100</v>
      </c>
      <c r="AE121" s="131">
        <v>416.5</v>
      </c>
      <c r="AF121" s="131">
        <v>13</v>
      </c>
      <c r="AG121" s="131">
        <v>40</v>
      </c>
      <c r="AH121" s="120">
        <v>0</v>
      </c>
      <c r="AI121" s="120">
        <v>0.6</v>
      </c>
      <c r="AJ121" s="120">
        <v>0</v>
      </c>
      <c r="AK121" s="120">
        <v>7.5</v>
      </c>
      <c r="AL121" s="120">
        <v>134</v>
      </c>
      <c r="AM121" s="120">
        <v>3.9</v>
      </c>
      <c r="AN121" s="120"/>
      <c r="AO121" s="120"/>
    </row>
    <row r="122" spans="1:41" ht="14.1" customHeight="1" x14ac:dyDescent="0.2">
      <c r="A122" s="23"/>
      <c r="B122" s="3" t="s">
        <v>123</v>
      </c>
      <c r="C122" s="122">
        <f>Produksi!D127</f>
        <v>218.5047229722</v>
      </c>
      <c r="D122" s="122">
        <f>Produksi!F127</f>
        <v>218.5047229722</v>
      </c>
      <c r="E122" s="123" t="e">
        <f>#REF!</f>
        <v>#REF!</v>
      </c>
      <c r="F122" s="124" t="e">
        <f>#REF!+#REF!</f>
        <v>#REF!</v>
      </c>
      <c r="G122" s="124"/>
      <c r="H122" s="124" t="e">
        <f t="shared" si="18"/>
        <v>#REF!</v>
      </c>
      <c r="I122" s="124">
        <f>'Pemakaian Dalam Negeri'!E129</f>
        <v>0</v>
      </c>
      <c r="J122" s="125">
        <f>'Pemakaian Dalam Negeri'!F129</f>
        <v>0</v>
      </c>
      <c r="K122" s="124">
        <f>'Pemakaian Dalam Negeri'!G129</f>
        <v>0</v>
      </c>
      <c r="L122" s="124">
        <f>'Pemakaian Dalam Negeri'!H129</f>
        <v>0</v>
      </c>
      <c r="M122" s="124">
        <f>'Pemakaian Dalam Negeri'!I129</f>
        <v>0</v>
      </c>
      <c r="N122" s="124">
        <f>'Pemakaian Dalam Negeri'!J129</f>
        <v>0</v>
      </c>
      <c r="O122" s="124" t="e">
        <f t="shared" si="10"/>
        <v>#REF!</v>
      </c>
      <c r="P122" s="124" t="e">
        <f t="shared" si="11"/>
        <v>#REF!</v>
      </c>
      <c r="Q122" s="126" t="e">
        <f t="shared" si="13"/>
        <v>#REF!</v>
      </c>
      <c r="R122" s="126" t="e">
        <f t="shared" si="14"/>
        <v>#REF!</v>
      </c>
      <c r="S122" s="126" t="e">
        <f t="shared" si="15"/>
        <v>#REF!</v>
      </c>
      <c r="T122" s="126" t="e">
        <f t="shared" si="16"/>
        <v>#REF!</v>
      </c>
      <c r="U122" s="127" t="e">
        <f t="shared" si="17"/>
        <v>#REF!</v>
      </c>
      <c r="V122" s="128"/>
      <c r="W122" s="41">
        <v>100</v>
      </c>
      <c r="X122" s="41">
        <v>0</v>
      </c>
      <c r="Y122" s="41">
        <v>0</v>
      </c>
      <c r="Z122" s="41">
        <v>0</v>
      </c>
      <c r="AA122" s="137"/>
      <c r="AB122" s="137"/>
      <c r="AC122" s="141">
        <f>W122-X122-Y122-Z122-AA122-AB122</f>
        <v>100</v>
      </c>
      <c r="AD122" s="119">
        <v>58</v>
      </c>
      <c r="AE122" s="131">
        <v>302</v>
      </c>
      <c r="AF122" s="131">
        <v>18.2</v>
      </c>
      <c r="AG122" s="131">
        <v>25</v>
      </c>
      <c r="AH122" s="120">
        <v>810</v>
      </c>
      <c r="AI122" s="120">
        <v>0.08</v>
      </c>
      <c r="AJ122" s="120">
        <v>0</v>
      </c>
      <c r="AK122" s="120">
        <v>14</v>
      </c>
      <c r="AL122" s="120">
        <v>200</v>
      </c>
      <c r="AM122" s="120">
        <v>1.5</v>
      </c>
      <c r="AN122" s="120"/>
      <c r="AO122" s="120"/>
    </row>
    <row r="123" spans="1:41" ht="14.1" customHeight="1" x14ac:dyDescent="0.2">
      <c r="A123" s="23"/>
      <c r="B123" s="3" t="s">
        <v>124</v>
      </c>
      <c r="C123" s="122">
        <f>Produksi!D128</f>
        <v>4500.6264758545003</v>
      </c>
      <c r="D123" s="122">
        <f>Produksi!F128</f>
        <v>4500.6264758545003</v>
      </c>
      <c r="E123" s="123" t="e">
        <f>#REF!</f>
        <v>#REF!</v>
      </c>
      <c r="F123" s="124" t="e">
        <f>#REF!+#REF!</f>
        <v>#REF!</v>
      </c>
      <c r="G123" s="124"/>
      <c r="H123" s="124" t="e">
        <f t="shared" si="18"/>
        <v>#REF!</v>
      </c>
      <c r="I123" s="124">
        <f>'Pemakaian Dalam Negeri'!E130</f>
        <v>0</v>
      </c>
      <c r="J123" s="125">
        <f>'Pemakaian Dalam Negeri'!F130</f>
        <v>0</v>
      </c>
      <c r="K123" s="124">
        <f>'Pemakaian Dalam Negeri'!G130</f>
        <v>0</v>
      </c>
      <c r="L123" s="124">
        <f>'Pemakaian Dalam Negeri'!H130</f>
        <v>0</v>
      </c>
      <c r="M123" s="124">
        <f>'Pemakaian Dalam Negeri'!I130</f>
        <v>0</v>
      </c>
      <c r="N123" s="124">
        <f>'Pemakaian Dalam Negeri'!J130</f>
        <v>0</v>
      </c>
      <c r="O123" s="124" t="e">
        <f t="shared" si="10"/>
        <v>#REF!</v>
      </c>
      <c r="P123" s="124" t="e">
        <f t="shared" si="11"/>
        <v>#REF!</v>
      </c>
      <c r="Q123" s="126" t="e">
        <f t="shared" si="13"/>
        <v>#REF!</v>
      </c>
      <c r="R123" s="126" t="e">
        <f t="shared" si="14"/>
        <v>#REF!</v>
      </c>
      <c r="S123" s="126" t="e">
        <f t="shared" si="15"/>
        <v>#REF!</v>
      </c>
      <c r="T123" s="126" t="e">
        <f t="shared" si="16"/>
        <v>#REF!</v>
      </c>
      <c r="U123" s="127" t="e">
        <f t="shared" si="17"/>
        <v>#REF!</v>
      </c>
      <c r="V123" s="135"/>
      <c r="W123" s="136"/>
      <c r="X123" s="137"/>
      <c r="Y123" s="137"/>
      <c r="Z123" s="137"/>
      <c r="AA123" s="151"/>
      <c r="AB123" s="137"/>
      <c r="AC123" s="141"/>
      <c r="AD123" s="119">
        <v>58</v>
      </c>
      <c r="AE123" s="131">
        <v>302</v>
      </c>
      <c r="AF123" s="131">
        <v>18.2</v>
      </c>
      <c r="AG123" s="131">
        <v>25</v>
      </c>
      <c r="AH123" s="120">
        <v>810</v>
      </c>
      <c r="AI123" s="120">
        <v>0.08</v>
      </c>
      <c r="AJ123" s="120">
        <v>0</v>
      </c>
      <c r="AK123" s="120">
        <v>14</v>
      </c>
      <c r="AL123" s="120">
        <v>200</v>
      </c>
      <c r="AM123" s="120">
        <v>1.5</v>
      </c>
      <c r="AN123" s="120"/>
      <c r="AO123" s="120"/>
    </row>
    <row r="124" spans="1:41" ht="14.1" customHeight="1" x14ac:dyDescent="0.2">
      <c r="A124" s="31"/>
      <c r="B124" s="4" t="s">
        <v>125</v>
      </c>
      <c r="C124" s="122">
        <f>Produksi!D129</f>
        <v>10.16115008265</v>
      </c>
      <c r="D124" s="122">
        <f>Produksi!F129</f>
        <v>10.16115008265</v>
      </c>
      <c r="E124" s="123" t="e">
        <f>#REF!</f>
        <v>#REF!</v>
      </c>
      <c r="F124" s="124" t="e">
        <f>#REF!+#REF!</f>
        <v>#REF!</v>
      </c>
      <c r="G124" s="124"/>
      <c r="H124" s="124" t="e">
        <f t="shared" si="18"/>
        <v>#REF!</v>
      </c>
      <c r="I124" s="124">
        <f>'Pemakaian Dalam Negeri'!E131</f>
        <v>0</v>
      </c>
      <c r="J124" s="125">
        <f>'Pemakaian Dalam Negeri'!F131</f>
        <v>0</v>
      </c>
      <c r="K124" s="124">
        <f>'Pemakaian Dalam Negeri'!G131</f>
        <v>0</v>
      </c>
      <c r="L124" s="124">
        <f>'Pemakaian Dalam Negeri'!H131</f>
        <v>1.37480377837776</v>
      </c>
      <c r="M124" s="124">
        <f>'Pemakaian Dalam Negeri'!I131</f>
        <v>0</v>
      </c>
      <c r="N124" s="124">
        <f>'Pemakaian Dalam Negeri'!J131</f>
        <v>1717.1299191938222</v>
      </c>
      <c r="O124" s="124" t="e">
        <f t="shared" si="10"/>
        <v>#REF!</v>
      </c>
      <c r="P124" s="124" t="e">
        <f t="shared" si="11"/>
        <v>#REF!</v>
      </c>
      <c r="Q124" s="126" t="e">
        <f t="shared" si="13"/>
        <v>#REF!</v>
      </c>
      <c r="R124" s="126" t="e">
        <f t="shared" si="14"/>
        <v>#REF!</v>
      </c>
      <c r="S124" s="126" t="e">
        <f t="shared" si="15"/>
        <v>#REF!</v>
      </c>
      <c r="T124" s="126" t="e">
        <f t="shared" si="16"/>
        <v>#REF!</v>
      </c>
      <c r="U124" s="127" t="e">
        <f t="shared" si="17"/>
        <v>#REF!</v>
      </c>
      <c r="V124" s="135"/>
      <c r="W124" s="136"/>
      <c r="X124" s="137"/>
      <c r="Y124" s="137"/>
      <c r="Z124" s="137"/>
      <c r="AA124" s="41">
        <v>0</v>
      </c>
      <c r="AB124" s="137"/>
      <c r="AC124" s="141"/>
      <c r="AD124" s="119">
        <v>60</v>
      </c>
      <c r="AE124" s="131">
        <v>312</v>
      </c>
      <c r="AF124" s="131">
        <v>13.7</v>
      </c>
      <c r="AG124" s="131">
        <v>27.8</v>
      </c>
      <c r="AH124" s="120">
        <v>900</v>
      </c>
      <c r="AI124" s="120">
        <v>0.1</v>
      </c>
      <c r="AJ124" s="120">
        <v>0</v>
      </c>
      <c r="AK124" s="120">
        <v>15</v>
      </c>
      <c r="AL124" s="120">
        <v>188</v>
      </c>
      <c r="AM124" s="120">
        <v>1.8</v>
      </c>
      <c r="AN124" s="120"/>
      <c r="AO124" s="120"/>
    </row>
    <row r="125" spans="1:41" ht="14.1" customHeight="1" x14ac:dyDescent="0.2">
      <c r="A125" s="32"/>
      <c r="B125" s="3" t="s">
        <v>126</v>
      </c>
      <c r="C125" s="122">
        <f>Produksi!D130</f>
        <v>6.8619012000000001</v>
      </c>
      <c r="D125" s="122">
        <f>Produksi!F130</f>
        <v>6.8619012000000001</v>
      </c>
      <c r="E125" s="123" t="e">
        <f>#REF!</f>
        <v>#REF!</v>
      </c>
      <c r="F125" s="124" t="e">
        <f>#REF!+#REF!</f>
        <v>#REF!</v>
      </c>
      <c r="G125" s="124"/>
      <c r="H125" s="124" t="e">
        <f t="shared" si="18"/>
        <v>#REF!</v>
      </c>
      <c r="I125" s="124">
        <f>'Pemakaian Dalam Negeri'!E132</f>
        <v>0</v>
      </c>
      <c r="J125" s="125">
        <f>'Pemakaian Dalam Negeri'!F132</f>
        <v>0</v>
      </c>
      <c r="K125" s="124">
        <f>'Pemakaian Dalam Negeri'!G132</f>
        <v>0</v>
      </c>
      <c r="L125" s="124">
        <f>'Pemakaian Dalam Negeri'!H132</f>
        <v>6.5911085340518767</v>
      </c>
      <c r="M125" s="124">
        <f>'Pemakaian Dalam Negeri'!I132</f>
        <v>0</v>
      </c>
      <c r="N125" s="124">
        <f>'Pemakaian Dalam Negeri'!J132</f>
        <v>8232.2945590307936</v>
      </c>
      <c r="O125" s="124" t="e">
        <f t="shared" si="10"/>
        <v>#REF!</v>
      </c>
      <c r="P125" s="124" t="e">
        <f t="shared" si="11"/>
        <v>#REF!</v>
      </c>
      <c r="Q125" s="126" t="e">
        <f t="shared" si="13"/>
        <v>#REF!</v>
      </c>
      <c r="R125" s="126" t="e">
        <f t="shared" si="14"/>
        <v>#REF!</v>
      </c>
      <c r="S125" s="126" t="e">
        <f t="shared" si="15"/>
        <v>#REF!</v>
      </c>
      <c r="T125" s="126" t="e">
        <f t="shared" si="16"/>
        <v>#REF!</v>
      </c>
      <c r="U125" s="127" t="e">
        <f t="shared" si="17"/>
        <v>#REF!</v>
      </c>
      <c r="V125" s="128"/>
      <c r="W125" s="41">
        <v>100</v>
      </c>
      <c r="X125" s="41">
        <v>0</v>
      </c>
      <c r="Y125" s="42">
        <v>25</v>
      </c>
      <c r="Z125" s="41">
        <v>0</v>
      </c>
      <c r="AA125" s="151"/>
      <c r="AB125" s="148">
        <v>2E-3</v>
      </c>
      <c r="AC125" s="141">
        <f>W125-X125-Y125-Z125-AA125-AB125</f>
        <v>74.998000000000005</v>
      </c>
      <c r="AD125" s="119">
        <v>58</v>
      </c>
      <c r="AE125" s="131">
        <v>340</v>
      </c>
      <c r="AF125" s="131">
        <v>17.5</v>
      </c>
      <c r="AG125" s="131">
        <v>30</v>
      </c>
      <c r="AH125" s="120"/>
      <c r="AI125" s="120"/>
      <c r="AJ125" s="120"/>
      <c r="AK125" s="120"/>
      <c r="AL125" s="120"/>
      <c r="AM125" s="120"/>
      <c r="AN125" s="120"/>
      <c r="AO125" s="120"/>
    </row>
    <row r="126" spans="1:41" ht="14.1" customHeight="1" x14ac:dyDescent="0.2">
      <c r="A126" s="23"/>
      <c r="B126" s="3" t="s">
        <v>127</v>
      </c>
      <c r="C126" s="122">
        <f>Produksi!D131</f>
        <v>844.71164549075263</v>
      </c>
      <c r="D126" s="122">
        <f>Produksi!F131</f>
        <v>844.71164549075263</v>
      </c>
      <c r="E126" s="123" t="e">
        <f>#REF!</f>
        <v>#REF!</v>
      </c>
      <c r="F126" s="124" t="e">
        <f>#REF!+#REF!</f>
        <v>#REF!</v>
      </c>
      <c r="G126" s="124"/>
      <c r="H126" s="124" t="e">
        <f t="shared" si="18"/>
        <v>#REF!</v>
      </c>
      <c r="I126" s="124">
        <f>'Pemakaian Dalam Negeri'!E133</f>
        <v>0</v>
      </c>
      <c r="J126" s="125">
        <f>'Pemakaian Dalam Negeri'!F133</f>
        <v>0</v>
      </c>
      <c r="K126" s="124">
        <f>'Pemakaian Dalam Negeri'!G133</f>
        <v>0</v>
      </c>
      <c r="L126" s="124">
        <f>'Pemakaian Dalam Negeri'!H133</f>
        <v>0.44812892006612004</v>
      </c>
      <c r="M126" s="124">
        <f>'Pemakaian Dalam Negeri'!I133</f>
        <v>0</v>
      </c>
      <c r="N126" s="124">
        <f>'Pemakaian Dalam Negeri'!J133</f>
        <v>559.71302116258391</v>
      </c>
      <c r="O126" s="124" t="e">
        <f t="shared" si="10"/>
        <v>#REF!</v>
      </c>
      <c r="P126" s="124" t="e">
        <f t="shared" si="11"/>
        <v>#REF!</v>
      </c>
      <c r="Q126" s="126" t="e">
        <f t="shared" si="13"/>
        <v>#REF!</v>
      </c>
      <c r="R126" s="126" t="e">
        <f t="shared" si="14"/>
        <v>#REF!</v>
      </c>
      <c r="S126" s="126" t="e">
        <f t="shared" si="15"/>
        <v>#REF!</v>
      </c>
      <c r="T126" s="126" t="e">
        <f t="shared" si="16"/>
        <v>#REF!</v>
      </c>
      <c r="U126" s="127" t="e">
        <f t="shared" si="17"/>
        <v>#REF!</v>
      </c>
      <c r="V126" s="128"/>
      <c r="W126" s="41">
        <v>100</v>
      </c>
      <c r="X126" s="41">
        <v>0</v>
      </c>
      <c r="Y126" s="41">
        <v>0</v>
      </c>
      <c r="Z126" s="41">
        <v>0</v>
      </c>
      <c r="AA126" s="136"/>
      <c r="AB126" s="136">
        <v>0</v>
      </c>
      <c r="AC126" s="141">
        <f>W126-X126-Y126-Z126-AA126-AB126</f>
        <v>100</v>
      </c>
      <c r="AD126" s="119">
        <v>100</v>
      </c>
      <c r="AE126" s="131">
        <v>127</v>
      </c>
      <c r="AF126" s="131">
        <v>15.7</v>
      </c>
      <c r="AG126" s="131">
        <v>6.4</v>
      </c>
      <c r="AH126" s="120"/>
      <c r="AI126" s="120"/>
      <c r="AJ126" s="120"/>
      <c r="AK126" s="120"/>
      <c r="AL126" s="120"/>
      <c r="AM126" s="120"/>
      <c r="AN126" s="120"/>
      <c r="AO126" s="120"/>
    </row>
    <row r="127" spans="1:41" ht="14.1" customHeight="1" x14ac:dyDescent="0.2">
      <c r="A127" s="33"/>
      <c r="B127" s="4"/>
      <c r="C127" s="122">
        <f>Produksi!D132</f>
        <v>0</v>
      </c>
      <c r="D127" s="122">
        <f>Produksi!F132</f>
        <v>0</v>
      </c>
      <c r="E127" s="123" t="e">
        <f>#REF!</f>
        <v>#REF!</v>
      </c>
      <c r="F127" s="124" t="e">
        <f>#REF!+#REF!</f>
        <v>#REF!</v>
      </c>
      <c r="G127" s="124"/>
      <c r="H127" s="124" t="e">
        <f t="shared" si="18"/>
        <v>#REF!</v>
      </c>
      <c r="I127" s="124"/>
      <c r="J127" s="125"/>
      <c r="K127" s="124"/>
      <c r="L127" s="124"/>
      <c r="M127" s="124"/>
      <c r="N127" s="124"/>
      <c r="O127" s="124" t="e">
        <f t="shared" si="10"/>
        <v>#REF!</v>
      </c>
      <c r="P127" s="124" t="e">
        <f t="shared" si="11"/>
        <v>#REF!</v>
      </c>
      <c r="Q127" s="126"/>
      <c r="R127" s="126"/>
      <c r="S127" s="126"/>
      <c r="T127" s="126"/>
      <c r="U127" s="127"/>
      <c r="V127" s="135"/>
      <c r="W127" s="136">
        <v>100</v>
      </c>
      <c r="X127" s="136">
        <v>0</v>
      </c>
      <c r="Y127" s="137">
        <v>13.5</v>
      </c>
      <c r="Z127" s="136">
        <v>0</v>
      </c>
      <c r="AA127" s="136">
        <v>0</v>
      </c>
      <c r="AB127" s="137"/>
      <c r="AC127" s="141">
        <f>W127-X127-Y127-Z127-AA127-AB127</f>
        <v>86.5</v>
      </c>
      <c r="AD127" s="119"/>
      <c r="AE127" s="131"/>
      <c r="AF127" s="131"/>
      <c r="AG127" s="131"/>
      <c r="AH127" s="120"/>
      <c r="AI127" s="120"/>
      <c r="AJ127" s="120"/>
      <c r="AK127" s="120"/>
      <c r="AL127" s="120"/>
      <c r="AM127" s="120"/>
      <c r="AN127" s="120"/>
      <c r="AO127" s="120"/>
    </row>
    <row r="128" spans="1:41" ht="14.1" customHeight="1" thickBot="1" x14ac:dyDescent="0.25">
      <c r="A128" s="6" t="s">
        <v>128</v>
      </c>
      <c r="B128" s="4"/>
      <c r="C128" s="122">
        <f>Produksi!D133</f>
        <v>0</v>
      </c>
      <c r="D128" s="122">
        <f>Produksi!F133</f>
        <v>0</v>
      </c>
      <c r="E128" s="123" t="e">
        <f>#REF!</f>
        <v>#REF!</v>
      </c>
      <c r="F128" s="124" t="e">
        <f>#REF!+#REF!</f>
        <v>#REF!</v>
      </c>
      <c r="G128" s="124"/>
      <c r="H128" s="124" t="e">
        <f t="shared" si="18"/>
        <v>#REF!</v>
      </c>
      <c r="I128" s="124">
        <f>'Pemakaian Dalam Negeri'!E135</f>
        <v>0</v>
      </c>
      <c r="J128" s="125">
        <f>'Pemakaian Dalam Negeri'!F135</f>
        <v>0</v>
      </c>
      <c r="K128" s="124">
        <f>'Pemakaian Dalam Negeri'!G135</f>
        <v>0</v>
      </c>
      <c r="L128" s="124">
        <f>'Pemakaian Dalam Negeri'!H135</f>
        <v>0.67576931639260218</v>
      </c>
      <c r="M128" s="124">
        <f>'Pemakaian Dalam Negeri'!I135</f>
        <v>0</v>
      </c>
      <c r="N128" s="124">
        <f>'Pemakaian Dalam Negeri'!J135</f>
        <v>844.03587617436006</v>
      </c>
      <c r="O128" s="124" t="e">
        <f t="shared" si="10"/>
        <v>#REF!</v>
      </c>
      <c r="P128" s="124" t="e">
        <f t="shared" si="11"/>
        <v>#REF!</v>
      </c>
      <c r="Q128" s="126"/>
      <c r="R128" s="126"/>
      <c r="S128" s="143" t="e">
        <f>SUM(S129:S132)</f>
        <v>#REF!</v>
      </c>
      <c r="T128" s="143" t="e">
        <f t="shared" ref="T128:AC128" si="21">SUM(T129:T132)</f>
        <v>#REF!</v>
      </c>
      <c r="U128" s="143" t="e">
        <f t="shared" si="21"/>
        <v>#REF!</v>
      </c>
      <c r="V128" s="142">
        <f t="shared" si="21"/>
        <v>0</v>
      </c>
      <c r="W128" s="142">
        <f t="shared" si="21"/>
        <v>200</v>
      </c>
      <c r="X128" s="142">
        <f t="shared" si="21"/>
        <v>10</v>
      </c>
      <c r="Y128" s="142">
        <f t="shared" si="21"/>
        <v>0</v>
      </c>
      <c r="Z128" s="142">
        <f t="shared" si="21"/>
        <v>0</v>
      </c>
      <c r="AA128" s="142">
        <f t="shared" si="21"/>
        <v>0</v>
      </c>
      <c r="AB128" s="142">
        <f t="shared" si="21"/>
        <v>2</v>
      </c>
      <c r="AC128" s="142">
        <f t="shared" si="21"/>
        <v>89</v>
      </c>
      <c r="AD128" s="119"/>
      <c r="AE128" s="131"/>
      <c r="AF128" s="131"/>
      <c r="AG128" s="131"/>
      <c r="AH128" s="120"/>
      <c r="AI128" s="120"/>
      <c r="AJ128" s="120"/>
      <c r="AK128" s="120"/>
      <c r="AL128" s="120"/>
      <c r="AM128" s="120"/>
      <c r="AN128" s="120"/>
      <c r="AO128" s="120"/>
    </row>
    <row r="129" spans="1:41" ht="14.1" customHeight="1" x14ac:dyDescent="0.2">
      <c r="A129" s="23"/>
      <c r="B129" s="13" t="s">
        <v>129</v>
      </c>
      <c r="C129" s="122">
        <f>Produksi!D134</f>
        <v>131.24472141375</v>
      </c>
      <c r="D129" s="122">
        <f>Produksi!F134</f>
        <v>131.24472141375</v>
      </c>
      <c r="E129" s="123" t="e">
        <f>#REF!</f>
        <v>#REF!</v>
      </c>
      <c r="F129" s="124" t="e">
        <f>#REF!+#REF!</f>
        <v>#REF!</v>
      </c>
      <c r="G129" s="124"/>
      <c r="H129" s="124" t="e">
        <f t="shared" si="18"/>
        <v>#REF!</v>
      </c>
      <c r="I129" s="124">
        <f>'Pemakaian Dalam Negeri'!E136</f>
        <v>0</v>
      </c>
      <c r="J129" s="125">
        <f>'Pemakaian Dalam Negeri'!F136</f>
        <v>0</v>
      </c>
      <c r="K129" s="124">
        <f>'Pemakaian Dalam Negeri'!G136</f>
        <v>0</v>
      </c>
      <c r="L129" s="124">
        <f>'Pemakaian Dalam Negeri'!H136</f>
        <v>0</v>
      </c>
      <c r="M129" s="124">
        <f>'Pemakaian Dalam Negeri'!I136</f>
        <v>0</v>
      </c>
      <c r="N129" s="124">
        <f>'Pemakaian Dalam Negeri'!J136</f>
        <v>0</v>
      </c>
      <c r="O129" s="124" t="e">
        <f t="shared" si="10"/>
        <v>#REF!</v>
      </c>
      <c r="P129" s="124" t="e">
        <f t="shared" si="11"/>
        <v>#REF!</v>
      </c>
      <c r="Q129" s="126" t="e">
        <f t="shared" si="13"/>
        <v>#REF!</v>
      </c>
      <c r="R129" s="126" t="e">
        <f t="shared" si="14"/>
        <v>#REF!</v>
      </c>
      <c r="S129" s="126" t="e">
        <f t="shared" si="15"/>
        <v>#REF!</v>
      </c>
      <c r="T129" s="126" t="e">
        <f t="shared" si="16"/>
        <v>#REF!</v>
      </c>
      <c r="U129" s="127" t="e">
        <f t="shared" si="17"/>
        <v>#REF!</v>
      </c>
      <c r="V129" s="135"/>
      <c r="W129" s="136"/>
      <c r="X129" s="136"/>
      <c r="Y129" s="137"/>
      <c r="Z129" s="136"/>
      <c r="AA129" s="137"/>
      <c r="AB129" s="152"/>
      <c r="AC129" s="141"/>
      <c r="AD129" s="119">
        <v>90</v>
      </c>
      <c r="AE129" s="131">
        <f>68.9*2</f>
        <v>137.80000000000001</v>
      </c>
      <c r="AF129" s="131">
        <f>4.52*2</f>
        <v>9.0399999999999991</v>
      </c>
      <c r="AG129" s="131">
        <f>5.3*2</f>
        <v>10.6</v>
      </c>
      <c r="AH129" s="120">
        <v>900</v>
      </c>
      <c r="AI129" s="120">
        <v>0.1</v>
      </c>
      <c r="AJ129" s="120">
        <v>0</v>
      </c>
      <c r="AK129" s="120">
        <v>54</v>
      </c>
      <c r="AL129" s="120">
        <v>180</v>
      </c>
      <c r="AM129" s="120">
        <v>2.7</v>
      </c>
      <c r="AN129" s="120"/>
      <c r="AO129" s="120"/>
    </row>
    <row r="130" spans="1:41" ht="14.1" customHeight="1" x14ac:dyDescent="0.2">
      <c r="A130" s="23"/>
      <c r="B130" s="13" t="s">
        <v>175</v>
      </c>
      <c r="C130" s="122">
        <f>Produksi!D135</f>
        <v>538.91259985080001</v>
      </c>
      <c r="D130" s="122">
        <f>Produksi!F135</f>
        <v>538.91259985080001</v>
      </c>
      <c r="E130" s="123" t="e">
        <f>#REF!</f>
        <v>#REF!</v>
      </c>
      <c r="F130" s="124" t="e">
        <f>#REF!+#REF!</f>
        <v>#REF!</v>
      </c>
      <c r="G130" s="124"/>
      <c r="H130" s="124" t="e">
        <f t="shared" si="18"/>
        <v>#REF!</v>
      </c>
      <c r="I130" s="124">
        <f>'Pemakaian Dalam Negeri'!E137</f>
        <v>0</v>
      </c>
      <c r="J130" s="125">
        <f>'Pemakaian Dalam Negeri'!F137</f>
        <v>0</v>
      </c>
      <c r="K130" s="124">
        <f>'Pemakaian Dalam Negeri'!G137</f>
        <v>0</v>
      </c>
      <c r="L130" s="124">
        <f>'Pemakaian Dalam Negeri'!H137</f>
        <v>0</v>
      </c>
      <c r="M130" s="124">
        <f>'Pemakaian Dalam Negeri'!I137</f>
        <v>0</v>
      </c>
      <c r="N130" s="124">
        <f>'Pemakaian Dalam Negeri'!J137</f>
        <v>0</v>
      </c>
      <c r="O130" s="124" t="e">
        <f t="shared" si="10"/>
        <v>#REF!</v>
      </c>
      <c r="P130" s="124" t="e">
        <f t="shared" si="11"/>
        <v>#REF!</v>
      </c>
      <c r="Q130" s="126" t="e">
        <f t="shared" si="13"/>
        <v>#REF!</v>
      </c>
      <c r="R130" s="126" t="e">
        <f t="shared" si="14"/>
        <v>#REF!</v>
      </c>
      <c r="S130" s="126" t="e">
        <f t="shared" si="15"/>
        <v>#REF!</v>
      </c>
      <c r="T130" s="126" t="e">
        <f t="shared" si="16"/>
        <v>#REF!</v>
      </c>
      <c r="U130" s="127" t="e">
        <f t="shared" si="17"/>
        <v>#REF!</v>
      </c>
      <c r="V130" s="135"/>
      <c r="W130" s="136">
        <v>100</v>
      </c>
      <c r="X130" s="136">
        <v>10</v>
      </c>
      <c r="Y130" s="136">
        <v>0</v>
      </c>
      <c r="Z130" s="136">
        <v>0</v>
      </c>
      <c r="AA130" s="137"/>
      <c r="AB130" s="42">
        <v>1</v>
      </c>
      <c r="AC130" s="141">
        <f>W130-X130-Y130-Z130-AA130-AB130</f>
        <v>89</v>
      </c>
      <c r="AD130" s="119">
        <v>90</v>
      </c>
      <c r="AE130" s="131">
        <v>137.06</v>
      </c>
      <c r="AF130" s="131">
        <v>11.04</v>
      </c>
      <c r="AG130" s="131">
        <v>9.61</v>
      </c>
      <c r="AH130" s="120">
        <v>900</v>
      </c>
      <c r="AI130" s="120">
        <v>0.1</v>
      </c>
      <c r="AJ130" s="120">
        <v>0</v>
      </c>
      <c r="AK130" s="120">
        <v>54</v>
      </c>
      <c r="AL130" s="120">
        <v>180</v>
      </c>
      <c r="AM130" s="120">
        <v>2.7</v>
      </c>
      <c r="AN130" s="120"/>
      <c r="AO130" s="120"/>
    </row>
    <row r="131" spans="1:41" ht="14.1" customHeight="1" x14ac:dyDescent="0.2">
      <c r="A131" s="24"/>
      <c r="B131" s="16" t="s">
        <v>130</v>
      </c>
      <c r="C131" s="122">
        <f>Produksi!D136</f>
        <v>103.45018958295</v>
      </c>
      <c r="D131" s="122">
        <f>Produksi!F136</f>
        <v>103.45018958295</v>
      </c>
      <c r="E131" s="123" t="e">
        <f>#REF!</f>
        <v>#REF!</v>
      </c>
      <c r="F131" s="124" t="e">
        <f>#REF!+#REF!</f>
        <v>#REF!</v>
      </c>
      <c r="G131" s="124"/>
      <c r="H131" s="124" t="e">
        <f t="shared" si="18"/>
        <v>#REF!</v>
      </c>
      <c r="I131" s="124">
        <f>'Pemakaian Dalam Negeri'!E138</f>
        <v>0</v>
      </c>
      <c r="J131" s="125">
        <f>'Pemakaian Dalam Negeri'!F138</f>
        <v>245.31118035343749</v>
      </c>
      <c r="K131" s="124">
        <f>'Pemakaian Dalam Negeri'!G138</f>
        <v>0</v>
      </c>
      <c r="L131" s="124">
        <f>'Pemakaian Dalam Negeri'!H138</f>
        <v>37.876046246570752</v>
      </c>
      <c r="M131" s="124">
        <f>'Pemakaian Dalam Negeri'!I138</f>
        <v>0</v>
      </c>
      <c r="N131" s="124">
        <f>'Pemakaian Dalam Negeri'!J138</f>
        <v>698.05749481374164</v>
      </c>
      <c r="O131" s="124" t="e">
        <f t="shared" si="10"/>
        <v>#REF!</v>
      </c>
      <c r="P131" s="124" t="e">
        <f t="shared" si="11"/>
        <v>#REF!</v>
      </c>
      <c r="Q131" s="126" t="e">
        <f t="shared" si="13"/>
        <v>#REF!</v>
      </c>
      <c r="R131" s="126" t="e">
        <f t="shared" si="14"/>
        <v>#REF!</v>
      </c>
      <c r="S131" s="126" t="e">
        <f t="shared" si="15"/>
        <v>#REF!</v>
      </c>
      <c r="T131" s="126" t="e">
        <f t="shared" si="16"/>
        <v>#REF!</v>
      </c>
      <c r="U131" s="127" t="e">
        <f t="shared" si="17"/>
        <v>#REF!</v>
      </c>
      <c r="V131" s="135"/>
      <c r="W131" s="136">
        <v>100</v>
      </c>
      <c r="X131" s="136">
        <v>0</v>
      </c>
      <c r="Y131" s="136">
        <v>0</v>
      </c>
      <c r="Z131" s="136">
        <v>0</v>
      </c>
      <c r="AA131" s="136">
        <v>0</v>
      </c>
      <c r="AB131" s="42">
        <v>1</v>
      </c>
      <c r="AC131" s="141"/>
      <c r="AD131" s="119">
        <v>90</v>
      </c>
      <c r="AE131" s="131">
        <f>100/70*125.4</f>
        <v>179.14285714285717</v>
      </c>
      <c r="AF131" s="131">
        <v>11.0857142857143</v>
      </c>
      <c r="AG131" s="131">
        <f>100/70*10.2</f>
        <v>14.571428571428571</v>
      </c>
      <c r="AH131" s="120">
        <v>1230</v>
      </c>
      <c r="AI131" s="120">
        <v>0.18</v>
      </c>
      <c r="AJ131" s="120">
        <v>0</v>
      </c>
      <c r="AK131" s="120">
        <v>56</v>
      </c>
      <c r="AL131" s="120">
        <v>175</v>
      </c>
      <c r="AM131" s="120">
        <v>2.8</v>
      </c>
      <c r="AN131" s="120"/>
      <c r="AO131" s="120"/>
    </row>
    <row r="132" spans="1:41" ht="14.1" customHeight="1" x14ac:dyDescent="0.2">
      <c r="A132" s="23"/>
      <c r="B132" s="16" t="s">
        <v>131</v>
      </c>
      <c r="C132" s="122">
        <f>Produksi!D137</f>
        <v>54.084257639999997</v>
      </c>
      <c r="D132" s="122">
        <f>Produksi!F137</f>
        <v>54.084257639999997</v>
      </c>
      <c r="E132" s="123" t="e">
        <f>#REF!</f>
        <v>#REF!</v>
      </c>
      <c r="F132" s="124" t="e">
        <f>#REF!+#REF!</f>
        <v>#REF!</v>
      </c>
      <c r="G132" s="124"/>
      <c r="H132" s="124" t="e">
        <f t="shared" si="18"/>
        <v>#REF!</v>
      </c>
      <c r="I132" s="124">
        <f>'Pemakaian Dalam Negeri'!E139</f>
        <v>0</v>
      </c>
      <c r="J132" s="125">
        <f>'Pemakaian Dalam Negeri'!F139</f>
        <v>0</v>
      </c>
      <c r="K132" s="124">
        <f>'Pemakaian Dalam Negeri'!G139</f>
        <v>0</v>
      </c>
      <c r="L132" s="124">
        <f>'Pemakaian Dalam Negeri'!H139</f>
        <v>128.14370829694141</v>
      </c>
      <c r="M132" s="124">
        <f>'Pemakaian Dalam Negeri'!I139</f>
        <v>0</v>
      </c>
      <c r="N132" s="124">
        <f>'Pemakaian Dalam Negeri'!J139</f>
        <v>6122.7688915538583</v>
      </c>
      <c r="O132" s="124" t="e">
        <f t="shared" si="10"/>
        <v>#REF!</v>
      </c>
      <c r="P132" s="124" t="e">
        <f t="shared" si="11"/>
        <v>#REF!</v>
      </c>
      <c r="Q132" s="126" t="e">
        <f t="shared" si="13"/>
        <v>#REF!</v>
      </c>
      <c r="R132" s="126" t="e">
        <f t="shared" si="14"/>
        <v>#REF!</v>
      </c>
      <c r="S132" s="126" t="e">
        <f t="shared" si="15"/>
        <v>#REF!</v>
      </c>
      <c r="T132" s="126" t="e">
        <f t="shared" si="16"/>
        <v>#REF!</v>
      </c>
      <c r="U132" s="127" t="e">
        <f t="shared" si="17"/>
        <v>#REF!</v>
      </c>
      <c r="V132" s="135"/>
      <c r="W132" s="136"/>
      <c r="X132" s="136"/>
      <c r="Y132" s="137"/>
      <c r="Z132" s="137"/>
      <c r="AA132" s="136"/>
      <c r="AB132" s="42"/>
      <c r="AC132" s="141"/>
      <c r="AD132" s="119">
        <v>90</v>
      </c>
      <c r="AE132" s="131">
        <v>116</v>
      </c>
      <c r="AF132" s="131">
        <v>11</v>
      </c>
      <c r="AG132" s="131">
        <v>7</v>
      </c>
      <c r="AH132" s="120"/>
      <c r="AI132" s="120"/>
      <c r="AJ132" s="120"/>
      <c r="AK132" s="120"/>
      <c r="AL132" s="120"/>
      <c r="AM132" s="120"/>
      <c r="AN132" s="120"/>
      <c r="AO132" s="120"/>
    </row>
    <row r="133" spans="1:41" ht="14.1" customHeight="1" x14ac:dyDescent="0.2">
      <c r="A133" s="23"/>
      <c r="B133" s="4"/>
      <c r="C133" s="122">
        <f>Produksi!D138</f>
        <v>0</v>
      </c>
      <c r="D133" s="122">
        <f>Produksi!F138</f>
        <v>0</v>
      </c>
      <c r="E133" s="123" t="e">
        <f>#REF!</f>
        <v>#REF!</v>
      </c>
      <c r="F133" s="124" t="e">
        <f>#REF!+#REF!</f>
        <v>#REF!</v>
      </c>
      <c r="G133" s="124"/>
      <c r="H133" s="124" t="e">
        <f t="shared" si="18"/>
        <v>#REF!</v>
      </c>
      <c r="I133" s="124"/>
      <c r="J133" s="125"/>
      <c r="K133" s="124"/>
      <c r="L133" s="124"/>
      <c r="M133" s="124"/>
      <c r="N133" s="124"/>
      <c r="O133" s="124" t="e">
        <f t="shared" si="10"/>
        <v>#REF!</v>
      </c>
      <c r="P133" s="124" t="e">
        <f t="shared" si="11"/>
        <v>#REF!</v>
      </c>
      <c r="Q133" s="126"/>
      <c r="R133" s="126"/>
      <c r="S133" s="126"/>
      <c r="T133" s="126"/>
      <c r="U133" s="127"/>
      <c r="V133" s="135"/>
      <c r="W133" s="136"/>
      <c r="X133" s="136"/>
      <c r="Y133" s="137"/>
      <c r="Z133" s="137"/>
      <c r="AA133" s="136">
        <v>0</v>
      </c>
      <c r="AB133" s="42"/>
      <c r="AC133" s="141"/>
      <c r="AD133" s="119"/>
      <c r="AE133" s="131"/>
      <c r="AF133" s="131"/>
      <c r="AG133" s="131"/>
      <c r="AH133" s="120"/>
      <c r="AI133" s="120"/>
      <c r="AJ133" s="120"/>
      <c r="AK133" s="120"/>
      <c r="AL133" s="120"/>
      <c r="AM133" s="120"/>
      <c r="AN133" s="120"/>
      <c r="AO133" s="120"/>
    </row>
    <row r="134" spans="1:41" ht="14.1" customHeight="1" thickBot="1" x14ac:dyDescent="0.25">
      <c r="A134" s="6" t="s">
        <v>132</v>
      </c>
      <c r="B134" s="4"/>
      <c r="C134" s="122">
        <f>Produksi!D139</f>
        <v>0</v>
      </c>
      <c r="D134" s="122">
        <f>Produksi!F139</f>
        <v>0</v>
      </c>
      <c r="E134" s="123" t="e">
        <f>#REF!</f>
        <v>#REF!</v>
      </c>
      <c r="F134" s="124" t="e">
        <f>#REF!+#REF!</f>
        <v>#REF!</v>
      </c>
      <c r="G134" s="124"/>
      <c r="H134" s="124" t="e">
        <f t="shared" si="18"/>
        <v>#REF!</v>
      </c>
      <c r="I134" s="124">
        <f>'Pemakaian Dalam Negeri'!E141</f>
        <v>0</v>
      </c>
      <c r="J134" s="125">
        <f>'Pemakaian Dalam Negeri'!F141</f>
        <v>0</v>
      </c>
      <c r="K134" s="124">
        <f>'Pemakaian Dalam Negeri'!G141</f>
        <v>0</v>
      </c>
      <c r="L134" s="124">
        <f>'Pemakaian Dalam Negeri'!H141</f>
        <v>0</v>
      </c>
      <c r="M134" s="124">
        <f>'Pemakaian Dalam Negeri'!I141</f>
        <v>0</v>
      </c>
      <c r="N134" s="124">
        <f>'Pemakaian Dalam Negeri'!J141</f>
        <v>254.08425764</v>
      </c>
      <c r="O134" s="124" t="e">
        <f t="shared" si="10"/>
        <v>#REF!</v>
      </c>
      <c r="P134" s="124" t="e">
        <f t="shared" si="11"/>
        <v>#REF!</v>
      </c>
      <c r="Q134" s="126"/>
      <c r="R134" s="126"/>
      <c r="S134" s="143" t="e">
        <f>SUM(S135:S136)</f>
        <v>#REF!</v>
      </c>
      <c r="T134" s="143" t="e">
        <f>SUM(T135:T136)</f>
        <v>#REF!</v>
      </c>
      <c r="U134" s="143" t="e">
        <f>SUM(U135:U136)</f>
        <v>#REF!</v>
      </c>
      <c r="V134" s="150"/>
      <c r="W134" s="151"/>
      <c r="X134" s="151"/>
      <c r="Y134" s="151"/>
      <c r="Z134" s="151"/>
      <c r="AA134" s="136">
        <v>0</v>
      </c>
      <c r="AB134" s="42">
        <v>1</v>
      </c>
      <c r="AC134" s="153"/>
      <c r="AD134" s="119"/>
      <c r="AE134" s="131"/>
      <c r="AF134" s="131"/>
      <c r="AG134" s="131"/>
      <c r="AH134" s="120"/>
      <c r="AI134" s="120"/>
      <c r="AJ134" s="120"/>
      <c r="AK134" s="120"/>
      <c r="AL134" s="120"/>
      <c r="AM134" s="120"/>
      <c r="AN134" s="120"/>
      <c r="AO134" s="120"/>
    </row>
    <row r="135" spans="1:41" ht="14.1" customHeight="1" x14ac:dyDescent="0.2">
      <c r="A135" s="24"/>
      <c r="B135" s="4" t="s">
        <v>133</v>
      </c>
      <c r="C135" s="122">
        <f>Produksi!D140</f>
        <v>0</v>
      </c>
      <c r="D135" s="122">
        <f>Produksi!F140</f>
        <v>0</v>
      </c>
      <c r="E135" s="123" t="e">
        <f>#REF!</f>
        <v>#REF!</v>
      </c>
      <c r="F135" s="124" t="e">
        <f>#REF!+#REF!</f>
        <v>#REF!</v>
      </c>
      <c r="G135" s="124"/>
      <c r="H135" s="124" t="e">
        <f t="shared" si="18"/>
        <v>#REF!</v>
      </c>
      <c r="I135" s="124">
        <f>'Pemakaian Dalam Negeri'!E142</f>
        <v>0</v>
      </c>
      <c r="J135" s="125">
        <f>'Pemakaian Dalam Negeri'!F142</f>
        <v>0</v>
      </c>
      <c r="K135" s="124">
        <f>'Pemakaian Dalam Negeri'!G142</f>
        <v>0</v>
      </c>
      <c r="L135" s="124">
        <f>'Pemakaian Dalam Negeri'!H142</f>
        <v>0</v>
      </c>
      <c r="M135" s="124">
        <f>'Pemakaian Dalam Negeri'!I142</f>
        <v>0</v>
      </c>
      <c r="N135" s="124">
        <f>'Pemakaian Dalam Negeri'!J142</f>
        <v>0</v>
      </c>
      <c r="O135" s="124" t="e">
        <f t="shared" si="10"/>
        <v>#REF!</v>
      </c>
      <c r="P135" s="124" t="e">
        <f t="shared" si="11"/>
        <v>#REF!</v>
      </c>
      <c r="Q135" s="126" t="e">
        <f t="shared" ref="Q135:Q188" si="22">O135/$R$4*1000</f>
        <v>#REF!</v>
      </c>
      <c r="R135" s="126" t="e">
        <f t="shared" ref="R135:R188" si="23">Q135/365*1000</f>
        <v>#REF!</v>
      </c>
      <c r="S135" s="126" t="e">
        <f t="shared" ref="S135:S188" si="24">R135/100*AD135/100*AE135</f>
        <v>#REF!</v>
      </c>
      <c r="T135" s="126" t="e">
        <f t="shared" ref="T135:T188" si="25">R135/100*AD135/100*AF135</f>
        <v>#REF!</v>
      </c>
      <c r="U135" s="127" t="e">
        <f t="shared" ref="U135:U188" si="26">R135/100*AD135/100*AG135</f>
        <v>#REF!</v>
      </c>
      <c r="V135" s="135"/>
      <c r="W135" s="136">
        <v>100</v>
      </c>
      <c r="X135" s="136">
        <v>0</v>
      </c>
      <c r="Y135" s="136">
        <v>0</v>
      </c>
      <c r="Z135" s="136">
        <v>0</v>
      </c>
      <c r="AA135" s="136">
        <v>0</v>
      </c>
      <c r="AB135" s="42">
        <v>1</v>
      </c>
      <c r="AC135" s="141">
        <f t="shared" ref="AC135:AC166" si="27">W135-AB135-AA135-Z135-Y135-X135</f>
        <v>99</v>
      </c>
      <c r="AD135" s="119">
        <v>100</v>
      </c>
      <c r="AE135" s="131">
        <v>61</v>
      </c>
      <c r="AF135" s="131">
        <v>3.2</v>
      </c>
      <c r="AG135" s="131">
        <v>3.5</v>
      </c>
      <c r="AH135" s="120">
        <v>130</v>
      </c>
      <c r="AI135" s="120">
        <v>0.03</v>
      </c>
      <c r="AJ135" s="120">
        <v>1</v>
      </c>
      <c r="AK135" s="120">
        <v>143</v>
      </c>
      <c r="AL135" s="120">
        <v>60</v>
      </c>
      <c r="AM135" s="120">
        <v>1.7</v>
      </c>
      <c r="AN135" s="120"/>
      <c r="AO135" s="120"/>
    </row>
    <row r="136" spans="1:41" ht="14.1" customHeight="1" x14ac:dyDescent="0.2">
      <c r="A136" s="24"/>
      <c r="B136" s="4" t="s">
        <v>134</v>
      </c>
      <c r="C136" s="122">
        <f>Produksi!D141</f>
        <v>0</v>
      </c>
      <c r="D136" s="122">
        <f>Produksi!F141</f>
        <v>0</v>
      </c>
      <c r="E136" s="123" t="e">
        <f>#REF!</f>
        <v>#REF!</v>
      </c>
      <c r="F136" s="124" t="e">
        <f>#REF!+#REF!</f>
        <v>#REF!</v>
      </c>
      <c r="G136" s="124"/>
      <c r="H136" s="124" t="e">
        <f t="shared" si="18"/>
        <v>#REF!</v>
      </c>
      <c r="I136" s="124">
        <f>'Pemakaian Dalam Negeri'!E143</f>
        <v>0</v>
      </c>
      <c r="J136" s="125">
        <f>'Pemakaian Dalam Negeri'!F143</f>
        <v>0</v>
      </c>
      <c r="K136" s="124">
        <f>'Pemakaian Dalam Negeri'!G143</f>
        <v>0</v>
      </c>
      <c r="L136" s="124">
        <f>'Pemakaian Dalam Negeri'!H143</f>
        <v>0</v>
      </c>
      <c r="M136" s="124">
        <f>'Pemakaian Dalam Negeri'!I143</f>
        <v>0</v>
      </c>
      <c r="N136" s="124">
        <f>'Pemakaian Dalam Negeri'!J143</f>
        <v>0</v>
      </c>
      <c r="O136" s="124" t="e">
        <f t="shared" si="10"/>
        <v>#REF!</v>
      </c>
      <c r="P136" s="124" t="e">
        <f t="shared" si="11"/>
        <v>#REF!</v>
      </c>
      <c r="Q136" s="126" t="e">
        <f t="shared" si="22"/>
        <v>#REF!</v>
      </c>
      <c r="R136" s="126" t="e">
        <f t="shared" si="23"/>
        <v>#REF!</v>
      </c>
      <c r="S136" s="126" t="e">
        <f t="shared" si="24"/>
        <v>#REF!</v>
      </c>
      <c r="T136" s="126" t="e">
        <f t="shared" si="25"/>
        <v>#REF!</v>
      </c>
      <c r="U136" s="127" t="e">
        <f t="shared" si="26"/>
        <v>#REF!</v>
      </c>
      <c r="V136" s="135"/>
      <c r="W136" s="136">
        <v>100</v>
      </c>
      <c r="X136" s="136">
        <v>0</v>
      </c>
      <c r="Y136" s="136">
        <v>0</v>
      </c>
      <c r="Z136" s="136">
        <v>0</v>
      </c>
      <c r="AA136" s="136">
        <v>0</v>
      </c>
      <c r="AB136" s="42">
        <v>1</v>
      </c>
      <c r="AC136" s="141">
        <f t="shared" si="27"/>
        <v>99</v>
      </c>
      <c r="AD136" s="119">
        <v>100</v>
      </c>
      <c r="AE136" s="131">
        <v>61</v>
      </c>
      <c r="AF136" s="131">
        <v>3.2</v>
      </c>
      <c r="AG136" s="131">
        <v>3.5</v>
      </c>
      <c r="AH136" s="120">
        <v>130</v>
      </c>
      <c r="AI136" s="120">
        <v>0.03</v>
      </c>
      <c r="AJ136" s="120">
        <v>1</v>
      </c>
      <c r="AK136" s="120">
        <v>143</v>
      </c>
      <c r="AL136" s="120">
        <v>60</v>
      </c>
      <c r="AM136" s="120">
        <v>1.7</v>
      </c>
      <c r="AN136" s="120"/>
      <c r="AO136" s="120"/>
    </row>
    <row r="137" spans="1:41" ht="14.1" customHeight="1" x14ac:dyDescent="0.2">
      <c r="A137" s="23"/>
      <c r="B137" s="4"/>
      <c r="C137" s="122">
        <f>Produksi!D142</f>
        <v>0</v>
      </c>
      <c r="D137" s="122">
        <f>Produksi!F142</f>
        <v>0</v>
      </c>
      <c r="E137" s="123" t="e">
        <f>#REF!</f>
        <v>#REF!</v>
      </c>
      <c r="F137" s="124" t="e">
        <f>#REF!+#REF!</f>
        <v>#REF!</v>
      </c>
      <c r="G137" s="124"/>
      <c r="H137" s="124" t="e">
        <f t="shared" si="18"/>
        <v>#REF!</v>
      </c>
      <c r="I137" s="124"/>
      <c r="J137" s="125"/>
      <c r="K137" s="124"/>
      <c r="L137" s="124"/>
      <c r="M137" s="124"/>
      <c r="N137" s="124"/>
      <c r="O137" s="124" t="e">
        <f t="shared" si="10"/>
        <v>#REF!</v>
      </c>
      <c r="P137" s="124" t="e">
        <f t="shared" si="11"/>
        <v>#REF!</v>
      </c>
      <c r="Q137" s="126"/>
      <c r="R137" s="126"/>
      <c r="S137" s="126"/>
      <c r="T137" s="126"/>
      <c r="U137" s="127"/>
      <c r="V137" s="135"/>
      <c r="W137" s="136">
        <v>100</v>
      </c>
      <c r="X137" s="136">
        <v>0</v>
      </c>
      <c r="Y137" s="136">
        <v>0</v>
      </c>
      <c r="Z137" s="136">
        <v>0</v>
      </c>
      <c r="AA137" s="136">
        <v>0</v>
      </c>
      <c r="AB137" s="42">
        <v>1</v>
      </c>
      <c r="AC137" s="141">
        <f t="shared" si="27"/>
        <v>99</v>
      </c>
      <c r="AD137" s="119"/>
      <c r="AE137" s="131"/>
      <c r="AF137" s="131"/>
      <c r="AG137" s="131"/>
      <c r="AH137" s="120"/>
      <c r="AI137" s="120"/>
      <c r="AJ137" s="120"/>
      <c r="AK137" s="120"/>
      <c r="AL137" s="120"/>
      <c r="AM137" s="120"/>
      <c r="AN137" s="120"/>
      <c r="AO137" s="120"/>
    </row>
    <row r="138" spans="1:41" ht="14.1" customHeight="1" thickBot="1" x14ac:dyDescent="0.25">
      <c r="A138" s="7" t="s">
        <v>135</v>
      </c>
      <c r="B138" s="4"/>
      <c r="C138" s="122">
        <f>Produksi!D143</f>
        <v>0</v>
      </c>
      <c r="D138" s="122">
        <f>Produksi!F143</f>
        <v>0</v>
      </c>
      <c r="E138" s="123" t="e">
        <f>#REF!</f>
        <v>#REF!</v>
      </c>
      <c r="F138" s="124" t="e">
        <f>#REF!+#REF!</f>
        <v>#REF!</v>
      </c>
      <c r="G138" s="124"/>
      <c r="H138" s="124" t="e">
        <f t="shared" si="18"/>
        <v>#REF!</v>
      </c>
      <c r="I138" s="124">
        <f>'Pemakaian Dalam Negeri'!E145</f>
        <v>0</v>
      </c>
      <c r="J138" s="125">
        <f>'Pemakaian Dalam Negeri'!F145</f>
        <v>0</v>
      </c>
      <c r="K138" s="124">
        <f>'Pemakaian Dalam Negeri'!G145</f>
        <v>0</v>
      </c>
      <c r="L138" s="124">
        <f>'Pemakaian Dalam Negeri'!H145</f>
        <v>0</v>
      </c>
      <c r="M138" s="124">
        <f>'Pemakaian Dalam Negeri'!I145</f>
        <v>0</v>
      </c>
      <c r="N138" s="124">
        <f>'Pemakaian Dalam Negeri'!J145</f>
        <v>0</v>
      </c>
      <c r="O138" s="124" t="e">
        <f t="shared" si="10"/>
        <v>#REF!</v>
      </c>
      <c r="P138" s="124" t="e">
        <f t="shared" si="11"/>
        <v>#REF!</v>
      </c>
      <c r="Q138" s="126"/>
      <c r="R138" s="126"/>
      <c r="S138" s="143" t="e">
        <f>SUM(S139:S172)</f>
        <v>#REF!</v>
      </c>
      <c r="T138" s="143" t="e">
        <f>SUM(T139:T172)</f>
        <v>#REF!</v>
      </c>
      <c r="U138" s="143" t="e">
        <f>SUM(U139:U172)</f>
        <v>#REF!</v>
      </c>
      <c r="V138" s="135"/>
      <c r="W138" s="136">
        <v>100</v>
      </c>
      <c r="X138" s="136">
        <v>0</v>
      </c>
      <c r="Y138" s="136">
        <v>0</v>
      </c>
      <c r="Z138" s="136">
        <v>0</v>
      </c>
      <c r="AA138" s="136"/>
      <c r="AB138" s="42">
        <v>1</v>
      </c>
      <c r="AC138" s="141">
        <f t="shared" si="27"/>
        <v>99</v>
      </c>
      <c r="AD138" s="119"/>
      <c r="AE138" s="131"/>
      <c r="AF138" s="131"/>
      <c r="AG138" s="131"/>
      <c r="AH138" s="120"/>
      <c r="AI138" s="120"/>
      <c r="AJ138" s="120"/>
      <c r="AK138" s="120"/>
      <c r="AL138" s="120"/>
      <c r="AM138" s="120"/>
      <c r="AN138" s="120"/>
      <c r="AO138" s="120"/>
    </row>
    <row r="139" spans="1:41" ht="14.1" customHeight="1" x14ac:dyDescent="0.2">
      <c r="A139" s="25"/>
      <c r="B139" s="3" t="s">
        <v>174</v>
      </c>
      <c r="C139" s="122">
        <f>Produksi!D144</f>
        <v>0</v>
      </c>
      <c r="D139" s="122">
        <f>Produksi!F144</f>
        <v>0</v>
      </c>
      <c r="E139" s="123" t="e">
        <f>#REF!</f>
        <v>#REF!</v>
      </c>
      <c r="F139" s="124" t="e">
        <f>#REF!+#REF!</f>
        <v>#REF!</v>
      </c>
      <c r="G139" s="124"/>
      <c r="H139" s="124" t="e">
        <f t="shared" si="18"/>
        <v>#REF!</v>
      </c>
      <c r="I139" s="124">
        <f>'Pemakaian Dalam Negeri'!E146</f>
        <v>0</v>
      </c>
      <c r="J139" s="125">
        <f>'Pemakaian Dalam Negeri'!F146</f>
        <v>0</v>
      </c>
      <c r="K139" s="124">
        <f>'Pemakaian Dalam Negeri'!G146</f>
        <v>0</v>
      </c>
      <c r="L139" s="124">
        <f>'Pemakaian Dalam Negeri'!H146</f>
        <v>0</v>
      </c>
      <c r="M139" s="124">
        <f>'Pemakaian Dalam Negeri'!I146</f>
        <v>0</v>
      </c>
      <c r="N139" s="124">
        <f>'Pemakaian Dalam Negeri'!J146</f>
        <v>0</v>
      </c>
      <c r="O139" s="124" t="e">
        <f t="shared" si="10"/>
        <v>#REF!</v>
      </c>
      <c r="P139" s="124" t="e">
        <f t="shared" si="11"/>
        <v>#REF!</v>
      </c>
      <c r="Q139" s="126" t="e">
        <f t="shared" si="22"/>
        <v>#REF!</v>
      </c>
      <c r="R139" s="126" t="e">
        <f t="shared" si="23"/>
        <v>#REF!</v>
      </c>
      <c r="S139" s="126" t="e">
        <f t="shared" si="24"/>
        <v>#REF!</v>
      </c>
      <c r="T139" s="126" t="e">
        <f t="shared" si="25"/>
        <v>#REF!</v>
      </c>
      <c r="U139" s="127" t="e">
        <f t="shared" si="26"/>
        <v>#REF!</v>
      </c>
      <c r="V139" s="135"/>
      <c r="W139" s="136">
        <v>100</v>
      </c>
      <c r="X139" s="136">
        <v>0</v>
      </c>
      <c r="Y139" s="136">
        <v>0</v>
      </c>
      <c r="Z139" s="136">
        <v>0</v>
      </c>
      <c r="AA139" s="136">
        <v>0</v>
      </c>
      <c r="AB139" s="42">
        <v>1</v>
      </c>
      <c r="AC139" s="141">
        <f t="shared" si="27"/>
        <v>99</v>
      </c>
      <c r="AD139" s="119">
        <v>80</v>
      </c>
      <c r="AE139" s="131">
        <v>90.4</v>
      </c>
      <c r="AF139" s="131">
        <v>13.6</v>
      </c>
      <c r="AG139" s="131">
        <v>3.2</v>
      </c>
      <c r="AH139" s="120"/>
      <c r="AI139" s="120"/>
      <c r="AJ139" s="120"/>
      <c r="AK139" s="120"/>
      <c r="AL139" s="120"/>
      <c r="AM139" s="120"/>
      <c r="AN139" s="120"/>
      <c r="AO139" s="120"/>
    </row>
    <row r="140" spans="1:41" ht="14.1" customHeight="1" x14ac:dyDescent="0.2">
      <c r="A140" s="24"/>
      <c r="B140" s="4" t="s">
        <v>136</v>
      </c>
      <c r="C140" s="122">
        <f>Produksi!D145</f>
        <v>0</v>
      </c>
      <c r="D140" s="122">
        <f>Produksi!F145</f>
        <v>0</v>
      </c>
      <c r="E140" s="123" t="e">
        <f>#REF!</f>
        <v>#REF!</v>
      </c>
      <c r="F140" s="124" t="e">
        <f>#REF!+#REF!</f>
        <v>#REF!</v>
      </c>
      <c r="G140" s="124"/>
      <c r="H140" s="124" t="e">
        <f t="shared" si="18"/>
        <v>#REF!</v>
      </c>
      <c r="I140" s="124">
        <f>'Pemakaian Dalam Negeri'!E147</f>
        <v>0</v>
      </c>
      <c r="J140" s="125">
        <f>'Pemakaian Dalam Negeri'!F147</f>
        <v>0</v>
      </c>
      <c r="K140" s="124">
        <f>'Pemakaian Dalam Negeri'!G147</f>
        <v>0</v>
      </c>
      <c r="L140" s="124">
        <f>'Pemakaian Dalam Negeri'!H147</f>
        <v>0</v>
      </c>
      <c r="M140" s="124">
        <f>'Pemakaian Dalam Negeri'!I147</f>
        <v>0</v>
      </c>
      <c r="N140" s="124">
        <f>'Pemakaian Dalam Negeri'!J147</f>
        <v>0</v>
      </c>
      <c r="O140" s="124" t="e">
        <f t="shared" si="10"/>
        <v>#REF!</v>
      </c>
      <c r="P140" s="124" t="e">
        <f t="shared" si="11"/>
        <v>#REF!</v>
      </c>
      <c r="Q140" s="126" t="e">
        <f t="shared" si="22"/>
        <v>#REF!</v>
      </c>
      <c r="R140" s="126" t="e">
        <f t="shared" si="23"/>
        <v>#REF!</v>
      </c>
      <c r="S140" s="126" t="e">
        <f t="shared" si="24"/>
        <v>#REF!</v>
      </c>
      <c r="T140" s="126" t="e">
        <f t="shared" si="25"/>
        <v>#REF!</v>
      </c>
      <c r="U140" s="127" t="e">
        <f t="shared" si="26"/>
        <v>#REF!</v>
      </c>
      <c r="V140" s="128"/>
      <c r="W140" s="41">
        <v>100</v>
      </c>
      <c r="X140" s="41">
        <v>0</v>
      </c>
      <c r="Y140" s="41">
        <v>0</v>
      </c>
      <c r="Z140" s="41">
        <v>0</v>
      </c>
      <c r="AA140" s="136">
        <v>0</v>
      </c>
      <c r="AB140" s="42">
        <v>1</v>
      </c>
      <c r="AC140" s="149">
        <f t="shared" si="27"/>
        <v>99</v>
      </c>
      <c r="AD140" s="119">
        <v>80</v>
      </c>
      <c r="AE140" s="131">
        <v>73.599999999999994</v>
      </c>
      <c r="AF140" s="131">
        <v>16</v>
      </c>
      <c r="AG140" s="131">
        <v>0.56000000000000005</v>
      </c>
      <c r="AH140" s="120"/>
      <c r="AI140" s="120"/>
      <c r="AJ140" s="120"/>
      <c r="AK140" s="120"/>
      <c r="AL140" s="120"/>
      <c r="AM140" s="120"/>
      <c r="AN140" s="120"/>
      <c r="AO140" s="120"/>
    </row>
    <row r="141" spans="1:41" ht="14.1" customHeight="1" x14ac:dyDescent="0.2">
      <c r="A141" s="24"/>
      <c r="B141" s="4" t="s">
        <v>137</v>
      </c>
      <c r="C141" s="122">
        <f>Produksi!D146</f>
        <v>0</v>
      </c>
      <c r="D141" s="122">
        <f>Produksi!F146</f>
        <v>0</v>
      </c>
      <c r="E141" s="123" t="e">
        <f>#REF!</f>
        <v>#REF!</v>
      </c>
      <c r="F141" s="124" t="e">
        <f>#REF!+#REF!</f>
        <v>#REF!</v>
      </c>
      <c r="G141" s="124"/>
      <c r="H141" s="124" t="e">
        <f t="shared" si="18"/>
        <v>#REF!</v>
      </c>
      <c r="I141" s="124">
        <f>'Pemakaian Dalam Negeri'!E148</f>
        <v>0</v>
      </c>
      <c r="J141" s="125">
        <f>'Pemakaian Dalam Negeri'!F148</f>
        <v>0</v>
      </c>
      <c r="K141" s="124">
        <f>'Pemakaian Dalam Negeri'!G148</f>
        <v>0</v>
      </c>
      <c r="L141" s="124">
        <f>'Pemakaian Dalam Negeri'!H148</f>
        <v>7.5594436559547296</v>
      </c>
      <c r="M141" s="124">
        <f>'Pemakaian Dalam Negeri'!I148</f>
        <v>0</v>
      </c>
      <c r="N141" s="124">
        <f>'Pemakaian Dalam Negeri'!J148</f>
        <v>748.38492193951822</v>
      </c>
      <c r="O141" s="124" t="e">
        <f t="shared" si="10"/>
        <v>#REF!</v>
      </c>
      <c r="P141" s="124" t="e">
        <f t="shared" si="11"/>
        <v>#REF!</v>
      </c>
      <c r="Q141" s="126" t="e">
        <f t="shared" si="22"/>
        <v>#REF!</v>
      </c>
      <c r="R141" s="126" t="e">
        <f t="shared" si="23"/>
        <v>#REF!</v>
      </c>
      <c r="S141" s="126" t="e">
        <f t="shared" si="24"/>
        <v>#REF!</v>
      </c>
      <c r="T141" s="126" t="e">
        <f t="shared" si="25"/>
        <v>#REF!</v>
      </c>
      <c r="U141" s="127" t="e">
        <f t="shared" si="26"/>
        <v>#REF!</v>
      </c>
      <c r="V141" s="135"/>
      <c r="W141" s="136">
        <v>100</v>
      </c>
      <c r="X141" s="136">
        <v>0</v>
      </c>
      <c r="Y141" s="136">
        <v>0</v>
      </c>
      <c r="Z141" s="136">
        <v>0</v>
      </c>
      <c r="AA141" s="136">
        <v>0</v>
      </c>
      <c r="AB141" s="42">
        <v>1</v>
      </c>
      <c r="AC141" s="141">
        <f t="shared" si="27"/>
        <v>99</v>
      </c>
      <c r="AD141" s="119">
        <v>49</v>
      </c>
      <c r="AE141" s="131">
        <v>57</v>
      </c>
      <c r="AF141" s="131">
        <v>10.7</v>
      </c>
      <c r="AG141" s="131">
        <v>0.3</v>
      </c>
      <c r="AH141" s="120"/>
      <c r="AI141" s="120"/>
      <c r="AJ141" s="120"/>
      <c r="AK141" s="120"/>
      <c r="AL141" s="120"/>
      <c r="AM141" s="120"/>
      <c r="AN141" s="120"/>
      <c r="AO141" s="120"/>
    </row>
    <row r="142" spans="1:41" ht="14.1" customHeight="1" x14ac:dyDescent="0.2">
      <c r="A142" s="24"/>
      <c r="B142" s="4" t="s">
        <v>138</v>
      </c>
      <c r="C142" s="122">
        <f>Produksi!D147</f>
        <v>0</v>
      </c>
      <c r="D142" s="122">
        <f>Produksi!F147</f>
        <v>0</v>
      </c>
      <c r="E142" s="123" t="e">
        <f>#REF!</f>
        <v>#REF!</v>
      </c>
      <c r="F142" s="124" t="e">
        <f>#REF!+#REF!</f>
        <v>#REF!</v>
      </c>
      <c r="G142" s="124"/>
      <c r="H142" s="124" t="e">
        <f t="shared" si="18"/>
        <v>#REF!</v>
      </c>
      <c r="I142" s="124">
        <f>'Pemakaian Dalam Negeri'!E149</f>
        <v>0</v>
      </c>
      <c r="J142" s="125">
        <f>'Pemakaian Dalam Negeri'!F149</f>
        <v>0</v>
      </c>
      <c r="K142" s="124">
        <f>'Pemakaian Dalam Negeri'!G149</f>
        <v>0</v>
      </c>
      <c r="L142" s="124">
        <f>'Pemakaian Dalam Negeri'!H149</f>
        <v>7.6209018170622506E-2</v>
      </c>
      <c r="M142" s="124">
        <f>'Pemakaian Dalam Negeri'!I149</f>
        <v>0</v>
      </c>
      <c r="N142" s="124">
        <f>'Pemakaian Dalam Negeri'!J149</f>
        <v>7.544692798891627</v>
      </c>
      <c r="O142" s="124" t="e">
        <f t="shared" ref="O142:O188" si="28">H142-I142-J142-K142-L142-M142-N142</f>
        <v>#REF!</v>
      </c>
      <c r="P142" s="124" t="e">
        <f t="shared" ref="P142:P188" si="29">I142+J142+K142+L142+M142+N142+O142</f>
        <v>#REF!</v>
      </c>
      <c r="Q142" s="126" t="e">
        <f t="shared" si="22"/>
        <v>#REF!</v>
      </c>
      <c r="R142" s="126" t="e">
        <f t="shared" si="23"/>
        <v>#REF!</v>
      </c>
      <c r="S142" s="126" t="e">
        <f t="shared" si="24"/>
        <v>#REF!</v>
      </c>
      <c r="T142" s="126" t="e">
        <f t="shared" si="25"/>
        <v>#REF!</v>
      </c>
      <c r="U142" s="127" t="e">
        <f t="shared" si="26"/>
        <v>#REF!</v>
      </c>
      <c r="V142" s="135"/>
      <c r="W142" s="136">
        <v>100</v>
      </c>
      <c r="X142" s="136">
        <v>0</v>
      </c>
      <c r="Y142" s="136">
        <v>0</v>
      </c>
      <c r="Z142" s="136">
        <v>0</v>
      </c>
      <c r="AA142" s="136">
        <v>0</v>
      </c>
      <c r="AB142" s="42">
        <v>1</v>
      </c>
      <c r="AC142" s="141">
        <f t="shared" si="27"/>
        <v>99</v>
      </c>
      <c r="AD142" s="119">
        <v>80</v>
      </c>
      <c r="AE142" s="131">
        <v>91</v>
      </c>
      <c r="AF142" s="131">
        <v>19</v>
      </c>
      <c r="AG142" s="131">
        <v>1.7</v>
      </c>
      <c r="AH142" s="120"/>
      <c r="AI142" s="120"/>
      <c r="AJ142" s="120"/>
      <c r="AK142" s="120"/>
      <c r="AL142" s="120"/>
      <c r="AM142" s="120"/>
      <c r="AN142" s="120"/>
      <c r="AO142" s="120"/>
    </row>
    <row r="143" spans="1:41" ht="14.1" customHeight="1" x14ac:dyDescent="0.2">
      <c r="A143" s="24"/>
      <c r="B143" s="4" t="s">
        <v>139</v>
      </c>
      <c r="C143" s="122">
        <f>Produksi!D148</f>
        <v>0</v>
      </c>
      <c r="D143" s="122">
        <f>Produksi!F148</f>
        <v>0</v>
      </c>
      <c r="E143" s="123" t="e">
        <f>#REF!</f>
        <v>#REF!</v>
      </c>
      <c r="F143" s="124" t="e">
        <f>#REF!+#REF!</f>
        <v>#REF!</v>
      </c>
      <c r="G143" s="124"/>
      <c r="H143" s="124" t="e">
        <f t="shared" si="18"/>
        <v>#REF!</v>
      </c>
      <c r="I143" s="124">
        <f>'Pemakaian Dalam Negeri'!E150</f>
        <v>0</v>
      </c>
      <c r="J143" s="125">
        <f>'Pemakaian Dalam Negeri'!F150</f>
        <v>0</v>
      </c>
      <c r="K143" s="124">
        <f>'Pemakaian Dalam Negeri'!G150</f>
        <v>0</v>
      </c>
      <c r="L143" s="124">
        <f>'Pemakaian Dalam Negeri'!H150</f>
        <v>0</v>
      </c>
      <c r="M143" s="124">
        <f>'Pemakaian Dalam Negeri'!I150</f>
        <v>0</v>
      </c>
      <c r="N143" s="124">
        <f>'Pemakaian Dalam Negeri'!J150</f>
        <v>0</v>
      </c>
      <c r="O143" s="124" t="e">
        <f t="shared" si="28"/>
        <v>#REF!</v>
      </c>
      <c r="P143" s="124" t="e">
        <f t="shared" si="29"/>
        <v>#REF!</v>
      </c>
      <c r="Q143" s="126" t="e">
        <f t="shared" si="22"/>
        <v>#REF!</v>
      </c>
      <c r="R143" s="126" t="e">
        <f t="shared" si="23"/>
        <v>#REF!</v>
      </c>
      <c r="S143" s="126" t="e">
        <f t="shared" si="24"/>
        <v>#REF!</v>
      </c>
      <c r="T143" s="126" t="e">
        <f t="shared" si="25"/>
        <v>#REF!</v>
      </c>
      <c r="U143" s="127" t="e">
        <f t="shared" si="26"/>
        <v>#REF!</v>
      </c>
      <c r="V143" s="135"/>
      <c r="W143" s="136">
        <v>100</v>
      </c>
      <c r="X143" s="136">
        <v>0</v>
      </c>
      <c r="Y143" s="136">
        <v>0</v>
      </c>
      <c r="Z143" s="136">
        <v>0</v>
      </c>
      <c r="AA143" s="136">
        <v>0</v>
      </c>
      <c r="AB143" s="42">
        <v>1</v>
      </c>
      <c r="AC143" s="141">
        <f t="shared" si="27"/>
        <v>99</v>
      </c>
      <c r="AD143" s="119">
        <v>100</v>
      </c>
      <c r="AE143" s="131">
        <v>74</v>
      </c>
      <c r="AF143" s="131">
        <v>10.3</v>
      </c>
      <c r="AG143" s="131">
        <v>0.56000000000000005</v>
      </c>
      <c r="AH143" s="120"/>
      <c r="AI143" s="120"/>
      <c r="AJ143" s="120"/>
      <c r="AK143" s="120"/>
      <c r="AL143" s="120"/>
      <c r="AM143" s="120"/>
      <c r="AN143" s="120"/>
      <c r="AO143" s="120"/>
    </row>
    <row r="144" spans="1:41" ht="14.1" customHeight="1" x14ac:dyDescent="0.2">
      <c r="A144" s="24"/>
      <c r="B144" s="4" t="s">
        <v>140</v>
      </c>
      <c r="C144" s="122">
        <f>Produksi!D149</f>
        <v>0</v>
      </c>
      <c r="D144" s="122">
        <f>Produksi!F149</f>
        <v>0</v>
      </c>
      <c r="E144" s="123" t="e">
        <f>#REF!</f>
        <v>#REF!</v>
      </c>
      <c r="F144" s="124" t="e">
        <f>#REF!+#REF!</f>
        <v>#REF!</v>
      </c>
      <c r="G144" s="124"/>
      <c r="H144" s="124" t="e">
        <f t="shared" si="18"/>
        <v>#REF!</v>
      </c>
      <c r="I144" s="124">
        <f>'Pemakaian Dalam Negeri'!E151</f>
        <v>0</v>
      </c>
      <c r="J144" s="125">
        <f>'Pemakaian Dalam Negeri'!F151</f>
        <v>0</v>
      </c>
      <c r="K144" s="124">
        <f>'Pemakaian Dalam Negeri'!G151</f>
        <v>0</v>
      </c>
      <c r="L144" s="124">
        <f>'Pemakaian Dalam Negeri'!H151</f>
        <v>0.22</v>
      </c>
      <c r="M144" s="124">
        <f>'Pemakaian Dalam Negeri'!I151</f>
        <v>0</v>
      </c>
      <c r="N144" s="124">
        <f>'Pemakaian Dalam Negeri'!J151</f>
        <v>21.78</v>
      </c>
      <c r="O144" s="124" t="e">
        <f t="shared" si="28"/>
        <v>#REF!</v>
      </c>
      <c r="P144" s="124" t="e">
        <f t="shared" si="29"/>
        <v>#REF!</v>
      </c>
      <c r="Q144" s="126" t="e">
        <f t="shared" si="22"/>
        <v>#REF!</v>
      </c>
      <c r="R144" s="126" t="e">
        <f t="shared" si="23"/>
        <v>#REF!</v>
      </c>
      <c r="S144" s="126" t="e">
        <f t="shared" si="24"/>
        <v>#REF!</v>
      </c>
      <c r="T144" s="126" t="e">
        <f t="shared" si="25"/>
        <v>#REF!</v>
      </c>
      <c r="U144" s="127" t="e">
        <f t="shared" si="26"/>
        <v>#REF!</v>
      </c>
      <c r="V144" s="135"/>
      <c r="W144" s="136">
        <v>100</v>
      </c>
      <c r="X144" s="136">
        <v>0</v>
      </c>
      <c r="Y144" s="136">
        <v>0</v>
      </c>
      <c r="Z144" s="136">
        <v>0</v>
      </c>
      <c r="AA144" s="136">
        <v>0</v>
      </c>
      <c r="AB144" s="42">
        <v>0.5</v>
      </c>
      <c r="AC144" s="141">
        <f t="shared" si="27"/>
        <v>99.5</v>
      </c>
      <c r="AD144" s="119">
        <v>80</v>
      </c>
      <c r="AE144" s="131">
        <v>112</v>
      </c>
      <c r="AF144" s="131">
        <v>20</v>
      </c>
      <c r="AG144" s="131">
        <v>3</v>
      </c>
      <c r="AH144" s="120"/>
      <c r="AI144" s="120"/>
      <c r="AJ144" s="120"/>
      <c r="AK144" s="120"/>
      <c r="AL144" s="120"/>
      <c r="AM144" s="120"/>
      <c r="AN144" s="120"/>
      <c r="AO144" s="120"/>
    </row>
    <row r="145" spans="1:41" ht="14.1" customHeight="1" x14ac:dyDescent="0.2">
      <c r="A145" s="24"/>
      <c r="B145" s="4" t="s">
        <v>141</v>
      </c>
      <c r="C145" s="122">
        <f>Produksi!D150</f>
        <v>0</v>
      </c>
      <c r="D145" s="122">
        <f>Produksi!F150</f>
        <v>0</v>
      </c>
      <c r="E145" s="123" t="e">
        <f>#REF!</f>
        <v>#REF!</v>
      </c>
      <c r="F145" s="124" t="e">
        <f>#REF!+#REF!</f>
        <v>#REF!</v>
      </c>
      <c r="G145" s="124"/>
      <c r="H145" s="124" t="e">
        <f t="shared" si="18"/>
        <v>#REF!</v>
      </c>
      <c r="I145" s="124">
        <f>'Pemakaian Dalam Negeri'!E152</f>
        <v>0</v>
      </c>
      <c r="J145" s="125">
        <f>'Pemakaian Dalam Negeri'!F152</f>
        <v>0</v>
      </c>
      <c r="K145" s="124">
        <f>'Pemakaian Dalam Negeri'!G152</f>
        <v>0</v>
      </c>
      <c r="L145" s="124">
        <f>'Pemakaian Dalam Negeri'!H152</f>
        <v>29.55</v>
      </c>
      <c r="M145" s="124">
        <f>'Pemakaian Dalam Negeri'!I152</f>
        <v>0</v>
      </c>
      <c r="N145" s="124">
        <f>'Pemakaian Dalam Negeri'!J152</f>
        <v>2925.45</v>
      </c>
      <c r="O145" s="124" t="e">
        <f t="shared" si="28"/>
        <v>#REF!</v>
      </c>
      <c r="P145" s="124" t="e">
        <f t="shared" si="29"/>
        <v>#REF!</v>
      </c>
      <c r="Q145" s="126" t="e">
        <f t="shared" si="22"/>
        <v>#REF!</v>
      </c>
      <c r="R145" s="126" t="e">
        <f t="shared" si="23"/>
        <v>#REF!</v>
      </c>
      <c r="S145" s="126" t="e">
        <f t="shared" si="24"/>
        <v>#REF!</v>
      </c>
      <c r="T145" s="126" t="e">
        <f t="shared" si="25"/>
        <v>#REF!</v>
      </c>
      <c r="U145" s="127" t="e">
        <f t="shared" si="26"/>
        <v>#REF!</v>
      </c>
      <c r="V145" s="135"/>
      <c r="W145" s="136">
        <v>100</v>
      </c>
      <c r="X145" s="136">
        <v>0</v>
      </c>
      <c r="Y145" s="136">
        <v>0</v>
      </c>
      <c r="Z145" s="136">
        <v>0</v>
      </c>
      <c r="AA145" s="136">
        <v>0</v>
      </c>
      <c r="AB145" s="42">
        <v>1</v>
      </c>
      <c r="AC145" s="141">
        <f t="shared" si="27"/>
        <v>99</v>
      </c>
      <c r="AD145" s="119">
        <v>80</v>
      </c>
      <c r="AE145" s="131">
        <v>82.4</v>
      </c>
      <c r="AF145" s="131">
        <v>17.600000000000001</v>
      </c>
      <c r="AG145" s="131">
        <v>0.8</v>
      </c>
      <c r="AH145" s="120"/>
      <c r="AI145" s="120"/>
      <c r="AJ145" s="120"/>
      <c r="AK145" s="120"/>
      <c r="AL145" s="120"/>
      <c r="AM145" s="120"/>
      <c r="AN145" s="120"/>
      <c r="AO145" s="120"/>
    </row>
    <row r="146" spans="1:41" ht="14.1" customHeight="1" x14ac:dyDescent="0.2">
      <c r="A146" s="23"/>
      <c r="B146" s="3" t="s">
        <v>142</v>
      </c>
      <c r="C146" s="122">
        <f>Produksi!D151</f>
        <v>0</v>
      </c>
      <c r="D146" s="122">
        <f>Produksi!F151</f>
        <v>0</v>
      </c>
      <c r="E146" s="123" t="e">
        <f>#REF!</f>
        <v>#REF!</v>
      </c>
      <c r="F146" s="124" t="e">
        <f>#REF!+#REF!</f>
        <v>#REF!</v>
      </c>
      <c r="G146" s="124"/>
      <c r="H146" s="124" t="e">
        <f t="shared" si="18"/>
        <v>#REF!</v>
      </c>
      <c r="I146" s="124">
        <f>'Pemakaian Dalam Negeri'!E153</f>
        <v>0</v>
      </c>
      <c r="J146" s="125">
        <f>'Pemakaian Dalam Negeri'!F153</f>
        <v>0</v>
      </c>
      <c r="K146" s="124">
        <f>'Pemakaian Dalam Negeri'!G153</f>
        <v>0</v>
      </c>
      <c r="L146" s="124">
        <f>'Pemakaian Dalam Negeri'!H153</f>
        <v>0</v>
      </c>
      <c r="M146" s="124">
        <f>'Pemakaian Dalam Negeri'!I153</f>
        <v>0</v>
      </c>
      <c r="N146" s="124">
        <f>'Pemakaian Dalam Negeri'!J153</f>
        <v>0</v>
      </c>
      <c r="O146" s="124" t="e">
        <f t="shared" si="28"/>
        <v>#REF!</v>
      </c>
      <c r="P146" s="124" t="e">
        <f t="shared" si="29"/>
        <v>#REF!</v>
      </c>
      <c r="Q146" s="126" t="e">
        <f t="shared" si="22"/>
        <v>#REF!</v>
      </c>
      <c r="R146" s="126" t="e">
        <f t="shared" si="23"/>
        <v>#REF!</v>
      </c>
      <c r="S146" s="126" t="e">
        <f t="shared" si="24"/>
        <v>#REF!</v>
      </c>
      <c r="T146" s="126" t="e">
        <f t="shared" si="25"/>
        <v>#REF!</v>
      </c>
      <c r="U146" s="127" t="e">
        <f t="shared" si="26"/>
        <v>#REF!</v>
      </c>
      <c r="V146" s="135"/>
      <c r="W146" s="136">
        <v>100</v>
      </c>
      <c r="X146" s="136">
        <v>0</v>
      </c>
      <c r="Y146" s="136">
        <v>0</v>
      </c>
      <c r="Z146" s="136">
        <v>0</v>
      </c>
      <c r="AA146" s="136">
        <v>0</v>
      </c>
      <c r="AB146" s="42">
        <v>1</v>
      </c>
      <c r="AC146" s="141">
        <f t="shared" si="27"/>
        <v>99</v>
      </c>
      <c r="AD146" s="119">
        <v>80</v>
      </c>
      <c r="AE146" s="131">
        <v>90.4</v>
      </c>
      <c r="AF146" s="131">
        <v>13.6</v>
      </c>
      <c r="AG146" s="131">
        <v>3.6</v>
      </c>
      <c r="AH146" s="120"/>
      <c r="AI146" s="120"/>
      <c r="AJ146" s="120"/>
      <c r="AK146" s="120"/>
      <c r="AL146" s="120"/>
      <c r="AM146" s="120"/>
      <c r="AN146" s="120"/>
      <c r="AO146" s="120"/>
    </row>
    <row r="147" spans="1:41" ht="14.1" customHeight="1" x14ac:dyDescent="0.2">
      <c r="A147" s="24"/>
      <c r="B147" s="4" t="s">
        <v>143</v>
      </c>
      <c r="C147" s="122">
        <f>Produksi!D152</f>
        <v>0</v>
      </c>
      <c r="D147" s="122">
        <f>Produksi!F152</f>
        <v>0</v>
      </c>
      <c r="E147" s="123" t="e">
        <f>#REF!</f>
        <v>#REF!</v>
      </c>
      <c r="F147" s="124" t="e">
        <f>#REF!+#REF!</f>
        <v>#REF!</v>
      </c>
      <c r="G147" s="124"/>
      <c r="H147" s="124" t="e">
        <f t="shared" si="18"/>
        <v>#REF!</v>
      </c>
      <c r="I147" s="124">
        <f>'Pemakaian Dalam Negeri'!E154</f>
        <v>0</v>
      </c>
      <c r="J147" s="125">
        <f>'Pemakaian Dalam Negeri'!F154</f>
        <v>0</v>
      </c>
      <c r="K147" s="124">
        <f>'Pemakaian Dalam Negeri'!G154</f>
        <v>0</v>
      </c>
      <c r="L147" s="124">
        <f>'Pemakaian Dalam Negeri'!H154</f>
        <v>0.630295074602927</v>
      </c>
      <c r="M147" s="124">
        <f>'Pemakaian Dalam Negeri'!I154</f>
        <v>0</v>
      </c>
      <c r="N147" s="124">
        <f>'Pemakaian Dalam Negeri'!J154</f>
        <v>62.399212385689772</v>
      </c>
      <c r="O147" s="124" t="e">
        <f t="shared" si="28"/>
        <v>#REF!</v>
      </c>
      <c r="P147" s="124" t="e">
        <f t="shared" si="29"/>
        <v>#REF!</v>
      </c>
      <c r="Q147" s="126" t="e">
        <f t="shared" si="22"/>
        <v>#REF!</v>
      </c>
      <c r="R147" s="126" t="e">
        <f t="shared" si="23"/>
        <v>#REF!</v>
      </c>
      <c r="S147" s="126" t="e">
        <f t="shared" si="24"/>
        <v>#REF!</v>
      </c>
      <c r="T147" s="126" t="e">
        <f t="shared" si="25"/>
        <v>#REF!</v>
      </c>
      <c r="U147" s="127" t="e">
        <f t="shared" si="26"/>
        <v>#REF!</v>
      </c>
      <c r="V147" s="135"/>
      <c r="W147" s="136">
        <v>100</v>
      </c>
      <c r="X147" s="136">
        <v>0</v>
      </c>
      <c r="Y147" s="136">
        <v>0</v>
      </c>
      <c r="Z147" s="136">
        <v>0</v>
      </c>
      <c r="AA147" s="136">
        <v>0</v>
      </c>
      <c r="AB147" s="42">
        <v>1</v>
      </c>
      <c r="AC147" s="141">
        <f t="shared" si="27"/>
        <v>99</v>
      </c>
      <c r="AD147" s="119">
        <v>80</v>
      </c>
      <c r="AE147" s="131">
        <v>103.2</v>
      </c>
      <c r="AF147" s="131">
        <v>16</v>
      </c>
      <c r="AG147" s="131">
        <v>3.84</v>
      </c>
      <c r="AH147" s="120"/>
      <c r="AI147" s="120"/>
      <c r="AJ147" s="120"/>
      <c r="AK147" s="120"/>
      <c r="AL147" s="120"/>
      <c r="AM147" s="120"/>
      <c r="AN147" s="120"/>
      <c r="AO147" s="120"/>
    </row>
    <row r="148" spans="1:41" ht="14.1" customHeight="1" x14ac:dyDescent="0.2">
      <c r="A148" s="34"/>
      <c r="B148" s="4" t="s">
        <v>144</v>
      </c>
      <c r="C148" s="122">
        <f>Produksi!D153</f>
        <v>0</v>
      </c>
      <c r="D148" s="122">
        <f>Produksi!F153</f>
        <v>0</v>
      </c>
      <c r="E148" s="123" t="e">
        <f>#REF!</f>
        <v>#REF!</v>
      </c>
      <c r="F148" s="124" t="e">
        <f>#REF!+#REF!</f>
        <v>#REF!</v>
      </c>
      <c r="G148" s="124"/>
      <c r="H148" s="124" t="e">
        <f t="shared" si="18"/>
        <v>#REF!</v>
      </c>
      <c r="I148" s="124">
        <f>'Pemakaian Dalam Negeri'!E155</f>
        <v>0</v>
      </c>
      <c r="J148" s="125">
        <f>'Pemakaian Dalam Negeri'!F155</f>
        <v>0</v>
      </c>
      <c r="K148" s="124">
        <f>'Pemakaian Dalam Negeri'!G155</f>
        <v>0</v>
      </c>
      <c r="L148" s="124">
        <f>'Pemakaian Dalam Negeri'!H155</f>
        <v>6.4763099038292596E-2</v>
      </c>
      <c r="M148" s="124">
        <f>'Pemakaian Dalam Negeri'!I155</f>
        <v>0</v>
      </c>
      <c r="N148" s="124">
        <f>'Pemakaian Dalam Negeri'!J155</f>
        <v>6.4115468047909676</v>
      </c>
      <c r="O148" s="124" t="e">
        <f t="shared" si="28"/>
        <v>#REF!</v>
      </c>
      <c r="P148" s="124" t="e">
        <f t="shared" si="29"/>
        <v>#REF!</v>
      </c>
      <c r="Q148" s="126" t="e">
        <f t="shared" si="22"/>
        <v>#REF!</v>
      </c>
      <c r="R148" s="126" t="e">
        <f t="shared" si="23"/>
        <v>#REF!</v>
      </c>
      <c r="S148" s="126" t="e">
        <f t="shared" si="24"/>
        <v>#REF!</v>
      </c>
      <c r="T148" s="126" t="e">
        <f t="shared" si="25"/>
        <v>#REF!</v>
      </c>
      <c r="U148" s="127" t="e">
        <f t="shared" si="26"/>
        <v>#REF!</v>
      </c>
      <c r="V148" s="135"/>
      <c r="W148" s="136">
        <v>100</v>
      </c>
      <c r="X148" s="136">
        <v>0</v>
      </c>
      <c r="Y148" s="136">
        <v>0</v>
      </c>
      <c r="Z148" s="136">
        <v>0</v>
      </c>
      <c r="AA148" s="136">
        <v>0</v>
      </c>
      <c r="AB148" s="42">
        <v>1</v>
      </c>
      <c r="AC148" s="141">
        <f t="shared" si="27"/>
        <v>99</v>
      </c>
      <c r="AD148" s="119">
        <v>90</v>
      </c>
      <c r="AE148" s="131">
        <v>64</v>
      </c>
      <c r="AF148" s="131">
        <v>10.8</v>
      </c>
      <c r="AG148" s="131">
        <v>2</v>
      </c>
      <c r="AH148" s="120"/>
      <c r="AI148" s="120"/>
      <c r="AJ148" s="120"/>
      <c r="AK148" s="120"/>
      <c r="AL148" s="120"/>
      <c r="AM148" s="120"/>
      <c r="AN148" s="120"/>
      <c r="AO148" s="120"/>
    </row>
    <row r="149" spans="1:41" ht="14.1" customHeight="1" x14ac:dyDescent="0.2">
      <c r="A149" s="24"/>
      <c r="B149" s="4" t="s">
        <v>145</v>
      </c>
      <c r="C149" s="122">
        <f>Produksi!D154</f>
        <v>0</v>
      </c>
      <c r="D149" s="122">
        <f>Produksi!F154</f>
        <v>0</v>
      </c>
      <c r="E149" s="123" t="e">
        <f>#REF!</f>
        <v>#REF!</v>
      </c>
      <c r="F149" s="124" t="e">
        <f>#REF!+#REF!</f>
        <v>#REF!</v>
      </c>
      <c r="G149" s="124"/>
      <c r="H149" s="124" t="e">
        <f t="shared" si="18"/>
        <v>#REF!</v>
      </c>
      <c r="I149" s="124">
        <f>'Pemakaian Dalam Negeri'!E156</f>
        <v>0</v>
      </c>
      <c r="J149" s="125">
        <f>'Pemakaian Dalam Negeri'!F156</f>
        <v>0</v>
      </c>
      <c r="K149" s="124">
        <f>'Pemakaian Dalam Negeri'!G156</f>
        <v>0</v>
      </c>
      <c r="L149" s="124">
        <f>'Pemakaian Dalam Negeri'!H156</f>
        <v>1.1409072469535301E-2</v>
      </c>
      <c r="M149" s="124">
        <f>'Pemakaian Dalam Negeri'!I156</f>
        <v>0</v>
      </c>
      <c r="N149" s="124">
        <f>'Pemakaian Dalam Negeri'!J156</f>
        <v>1.1294981744839947</v>
      </c>
      <c r="O149" s="124" t="e">
        <f t="shared" si="28"/>
        <v>#REF!</v>
      </c>
      <c r="P149" s="124" t="e">
        <f t="shared" si="29"/>
        <v>#REF!</v>
      </c>
      <c r="Q149" s="126" t="e">
        <f t="shared" si="22"/>
        <v>#REF!</v>
      </c>
      <c r="R149" s="126" t="e">
        <f t="shared" si="23"/>
        <v>#REF!</v>
      </c>
      <c r="S149" s="126" t="e">
        <f t="shared" si="24"/>
        <v>#REF!</v>
      </c>
      <c r="T149" s="126" t="e">
        <f t="shared" si="25"/>
        <v>#REF!</v>
      </c>
      <c r="U149" s="127" t="e">
        <f t="shared" si="26"/>
        <v>#REF!</v>
      </c>
      <c r="V149" s="135"/>
      <c r="W149" s="136">
        <v>100</v>
      </c>
      <c r="X149" s="136">
        <v>0</v>
      </c>
      <c r="Y149" s="136">
        <v>0</v>
      </c>
      <c r="Z149" s="136">
        <v>0</v>
      </c>
      <c r="AA149" s="136">
        <v>0</v>
      </c>
      <c r="AB149" s="42">
        <v>1</v>
      </c>
      <c r="AC149" s="141">
        <f t="shared" si="27"/>
        <v>99</v>
      </c>
      <c r="AD149" s="119">
        <v>80</v>
      </c>
      <c r="AE149" s="131">
        <v>71.2</v>
      </c>
      <c r="AF149" s="131">
        <v>14.96</v>
      </c>
      <c r="AG149" s="131">
        <v>0.8</v>
      </c>
      <c r="AH149" s="120"/>
      <c r="AI149" s="120"/>
      <c r="AJ149" s="120"/>
      <c r="AK149" s="120"/>
      <c r="AL149" s="120"/>
      <c r="AM149" s="120"/>
      <c r="AN149" s="120"/>
      <c r="AO149" s="120"/>
    </row>
    <row r="150" spans="1:41" ht="14.1" customHeight="1" x14ac:dyDescent="0.2">
      <c r="A150" s="34"/>
      <c r="B150" s="4" t="s">
        <v>146</v>
      </c>
      <c r="C150" s="122">
        <f>Produksi!D155</f>
        <v>3017.43</v>
      </c>
      <c r="D150" s="122">
        <f>Produksi!F155</f>
        <v>3017.43</v>
      </c>
      <c r="E150" s="123" t="e">
        <f>#REF!</f>
        <v>#REF!</v>
      </c>
      <c r="F150" s="124" t="e">
        <f>#REF!+#REF!</f>
        <v>#REF!</v>
      </c>
      <c r="G150" s="124"/>
      <c r="H150" s="124" t="e">
        <f t="shared" si="18"/>
        <v>#REF!</v>
      </c>
      <c r="I150" s="124">
        <f>'Pemakaian Dalam Negeri'!E157</f>
        <v>0</v>
      </c>
      <c r="J150" s="125">
        <f>'Pemakaian Dalam Negeri'!F157</f>
        <v>0</v>
      </c>
      <c r="K150" s="124">
        <f>'Pemakaian Dalam Negeri'!G157</f>
        <v>0</v>
      </c>
      <c r="L150" s="124">
        <f>'Pemakaian Dalam Negeri'!H157</f>
        <v>0</v>
      </c>
      <c r="M150" s="124">
        <f>'Pemakaian Dalam Negeri'!I157</f>
        <v>0</v>
      </c>
      <c r="N150" s="124">
        <f>'Pemakaian Dalam Negeri'!J157</f>
        <v>0</v>
      </c>
      <c r="O150" s="124" t="e">
        <f t="shared" si="28"/>
        <v>#REF!</v>
      </c>
      <c r="P150" s="124" t="e">
        <f t="shared" si="29"/>
        <v>#REF!</v>
      </c>
      <c r="Q150" s="126" t="e">
        <f t="shared" si="22"/>
        <v>#REF!</v>
      </c>
      <c r="R150" s="126" t="e">
        <f t="shared" si="23"/>
        <v>#REF!</v>
      </c>
      <c r="S150" s="126" t="e">
        <f t="shared" si="24"/>
        <v>#REF!</v>
      </c>
      <c r="T150" s="126" t="e">
        <f t="shared" si="25"/>
        <v>#REF!</v>
      </c>
      <c r="U150" s="127" t="e">
        <f t="shared" si="26"/>
        <v>#REF!</v>
      </c>
      <c r="V150" s="135"/>
      <c r="W150" s="136">
        <v>100</v>
      </c>
      <c r="X150" s="136">
        <v>0</v>
      </c>
      <c r="Y150" s="136">
        <v>0</v>
      </c>
      <c r="Z150" s="136">
        <v>0</v>
      </c>
      <c r="AA150" s="136">
        <v>0</v>
      </c>
      <c r="AB150" s="42">
        <v>1</v>
      </c>
      <c r="AC150" s="141">
        <f t="shared" si="27"/>
        <v>99</v>
      </c>
      <c r="AD150" s="119">
        <v>80</v>
      </c>
      <c r="AE150" s="131">
        <v>68.8</v>
      </c>
      <c r="AF150" s="131">
        <v>12.8</v>
      </c>
      <c r="AG150" s="131">
        <v>1.6</v>
      </c>
      <c r="AH150" s="120"/>
      <c r="AI150" s="120"/>
      <c r="AJ150" s="120"/>
      <c r="AK150" s="120"/>
      <c r="AL150" s="120"/>
      <c r="AM150" s="120"/>
      <c r="AN150" s="120"/>
      <c r="AO150" s="120"/>
    </row>
    <row r="151" spans="1:41" ht="14.1" customHeight="1" x14ac:dyDescent="0.2">
      <c r="A151" s="34"/>
      <c r="B151" s="4" t="s">
        <v>147</v>
      </c>
      <c r="C151" s="122">
        <f>Produksi!D156</f>
        <v>9288.51</v>
      </c>
      <c r="D151" s="122">
        <f>Produksi!F156</f>
        <v>9288.51</v>
      </c>
      <c r="E151" s="123" t="e">
        <f>#REF!</f>
        <v>#REF!</v>
      </c>
      <c r="F151" s="124" t="e">
        <f>#REF!+#REF!</f>
        <v>#REF!</v>
      </c>
      <c r="G151" s="124"/>
      <c r="H151" s="124" t="e">
        <f t="shared" si="18"/>
        <v>#REF!</v>
      </c>
      <c r="I151" s="124">
        <f>'Pemakaian Dalam Negeri'!E158</f>
        <v>0</v>
      </c>
      <c r="J151" s="125">
        <f>'Pemakaian Dalam Negeri'!F158</f>
        <v>0</v>
      </c>
      <c r="K151" s="124">
        <f>'Pemakaian Dalam Negeri'!G158</f>
        <v>0</v>
      </c>
      <c r="L151" s="124">
        <f>'Pemakaian Dalam Negeri'!H158</f>
        <v>0.409223013955195</v>
      </c>
      <c r="M151" s="124">
        <f>'Pemakaian Dalam Negeri'!I158</f>
        <v>0</v>
      </c>
      <c r="N151" s="124">
        <f>'Pemakaian Dalam Negeri'!J158</f>
        <v>40.513078381564306</v>
      </c>
      <c r="O151" s="124" t="e">
        <f t="shared" si="28"/>
        <v>#REF!</v>
      </c>
      <c r="P151" s="124" t="e">
        <f t="shared" si="29"/>
        <v>#REF!</v>
      </c>
      <c r="Q151" s="126" t="e">
        <f t="shared" si="22"/>
        <v>#REF!</v>
      </c>
      <c r="R151" s="126" t="e">
        <f t="shared" si="23"/>
        <v>#REF!</v>
      </c>
      <c r="S151" s="126" t="e">
        <f t="shared" si="24"/>
        <v>#REF!</v>
      </c>
      <c r="T151" s="126" t="e">
        <f t="shared" si="25"/>
        <v>#REF!</v>
      </c>
      <c r="U151" s="127" t="e">
        <f t="shared" si="26"/>
        <v>#REF!</v>
      </c>
      <c r="V151" s="135"/>
      <c r="W151" s="136">
        <v>100</v>
      </c>
      <c r="X151" s="136">
        <v>0</v>
      </c>
      <c r="Y151" s="136">
        <v>0</v>
      </c>
      <c r="Z151" s="136">
        <v>0</v>
      </c>
      <c r="AA151" s="136"/>
      <c r="AB151" s="42">
        <v>1</v>
      </c>
      <c r="AC151" s="141">
        <f t="shared" si="27"/>
        <v>99</v>
      </c>
      <c r="AD151" s="119">
        <v>80</v>
      </c>
      <c r="AE151" s="175">
        <v>84</v>
      </c>
      <c r="AF151" s="175">
        <v>14.8</v>
      </c>
      <c r="AG151" s="175">
        <v>2.2999999999999998</v>
      </c>
      <c r="AH151" s="120"/>
      <c r="AI151" s="120"/>
      <c r="AJ151" s="120"/>
      <c r="AK151" s="120"/>
      <c r="AL151" s="120"/>
      <c r="AM151" s="120"/>
      <c r="AN151" s="120"/>
      <c r="AO151" s="120"/>
    </row>
    <row r="152" spans="1:41" ht="14.1" customHeight="1" x14ac:dyDescent="0.2">
      <c r="A152" s="34"/>
      <c r="B152" s="4" t="s">
        <v>148</v>
      </c>
      <c r="C152" s="122">
        <f>Produksi!D157</f>
        <v>617.46</v>
      </c>
      <c r="D152" s="122">
        <f>Produksi!F157</f>
        <v>617.46</v>
      </c>
      <c r="E152" s="123" t="e">
        <f>#REF!</f>
        <v>#REF!</v>
      </c>
      <c r="F152" s="124" t="e">
        <f>#REF!+#REF!</f>
        <v>#REF!</v>
      </c>
      <c r="G152" s="124"/>
      <c r="H152" s="124" t="e">
        <f t="shared" si="18"/>
        <v>#REF!</v>
      </c>
      <c r="I152" s="124">
        <f>'Pemakaian Dalam Negeri'!E159</f>
        <v>0</v>
      </c>
      <c r="J152" s="125">
        <f>'Pemakaian Dalam Negeri'!F159</f>
        <v>0</v>
      </c>
      <c r="K152" s="124">
        <f>'Pemakaian Dalam Negeri'!G159</f>
        <v>0</v>
      </c>
      <c r="L152" s="124">
        <f>'Pemakaian Dalam Negeri'!H159</f>
        <v>31.9543</v>
      </c>
      <c r="M152" s="124">
        <f>'Pemakaian Dalam Negeri'!I159</f>
        <v>0</v>
      </c>
      <c r="N152" s="124">
        <f>'Pemakaian Dalam Negeri'!J159</f>
        <v>3163.4757</v>
      </c>
      <c r="O152" s="124" t="e">
        <f t="shared" si="28"/>
        <v>#REF!</v>
      </c>
      <c r="P152" s="124" t="e">
        <f t="shared" si="29"/>
        <v>#REF!</v>
      </c>
      <c r="Q152" s="126" t="e">
        <f t="shared" si="22"/>
        <v>#REF!</v>
      </c>
      <c r="R152" s="126" t="e">
        <f t="shared" si="23"/>
        <v>#REF!</v>
      </c>
      <c r="S152" s="126" t="e">
        <f t="shared" si="24"/>
        <v>#REF!</v>
      </c>
      <c r="T152" s="126" t="e">
        <f t="shared" si="25"/>
        <v>#REF!</v>
      </c>
      <c r="U152" s="127" t="e">
        <f t="shared" si="26"/>
        <v>#REF!</v>
      </c>
      <c r="V152" s="135"/>
      <c r="W152" s="136">
        <v>100</v>
      </c>
      <c r="X152" s="136">
        <v>0</v>
      </c>
      <c r="Y152" s="136">
        <v>0</v>
      </c>
      <c r="Z152" s="136">
        <v>0</v>
      </c>
      <c r="AA152" s="136">
        <v>0</v>
      </c>
      <c r="AB152" s="42">
        <v>1</v>
      </c>
      <c r="AC152" s="141">
        <f t="shared" si="27"/>
        <v>99</v>
      </c>
      <c r="AD152" s="119">
        <v>80</v>
      </c>
      <c r="AE152" s="175">
        <v>90</v>
      </c>
      <c r="AF152" s="175">
        <v>18.7</v>
      </c>
      <c r="AG152" s="175">
        <v>1.1000000000000001</v>
      </c>
      <c r="AH152" s="120"/>
      <c r="AI152" s="120"/>
      <c r="AJ152" s="120"/>
      <c r="AK152" s="120"/>
      <c r="AL152" s="120"/>
      <c r="AM152" s="120"/>
      <c r="AN152" s="120"/>
      <c r="AO152" s="120"/>
    </row>
    <row r="153" spans="1:41" x14ac:dyDescent="0.2">
      <c r="A153" s="34"/>
      <c r="B153" s="4" t="s">
        <v>149</v>
      </c>
      <c r="C153" s="122">
        <f>Produksi!D158</f>
        <v>10233.75</v>
      </c>
      <c r="D153" s="122">
        <f>Produksi!F158</f>
        <v>10233.75</v>
      </c>
      <c r="E153" s="123" t="e">
        <f>#REF!</f>
        <v>#REF!</v>
      </c>
      <c r="F153" s="124" t="e">
        <f>#REF!+#REF!</f>
        <v>#REF!</v>
      </c>
      <c r="G153" s="124"/>
      <c r="H153" s="124" t="e">
        <f t="shared" ref="H153:H188" si="30">D153-E153+F153-G153</f>
        <v>#REF!</v>
      </c>
      <c r="I153" s="124">
        <f>'Pemakaian Dalam Negeri'!E160</f>
        <v>0</v>
      </c>
      <c r="J153" s="125">
        <f>'Pemakaian Dalam Negeri'!F160</f>
        <v>0</v>
      </c>
      <c r="K153" s="124">
        <f>'Pemakaian Dalam Negeri'!G160</f>
        <v>0</v>
      </c>
      <c r="L153" s="124">
        <f>'Pemakaian Dalam Negeri'!H160</f>
        <v>101.4736</v>
      </c>
      <c r="M153" s="124">
        <f>'Pemakaian Dalam Negeri'!I160</f>
        <v>0</v>
      </c>
      <c r="N153" s="124">
        <f>'Pemakaian Dalam Negeri'!J160</f>
        <v>10045.886400000001</v>
      </c>
      <c r="O153" s="124" t="e">
        <f t="shared" si="28"/>
        <v>#REF!</v>
      </c>
      <c r="P153" s="124" t="e">
        <f t="shared" si="29"/>
        <v>#REF!</v>
      </c>
      <c r="Q153" s="126" t="e">
        <f t="shared" si="22"/>
        <v>#REF!</v>
      </c>
      <c r="R153" s="126" t="e">
        <f t="shared" si="23"/>
        <v>#REF!</v>
      </c>
      <c r="S153" s="126" t="e">
        <f t="shared" si="24"/>
        <v>#REF!</v>
      </c>
      <c r="T153" s="126" t="e">
        <f t="shared" si="25"/>
        <v>#REF!</v>
      </c>
      <c r="U153" s="127" t="e">
        <f t="shared" si="26"/>
        <v>#REF!</v>
      </c>
      <c r="V153" s="128"/>
      <c r="W153" s="41">
        <v>100</v>
      </c>
      <c r="X153" s="41">
        <v>0</v>
      </c>
      <c r="Y153" s="41">
        <v>0</v>
      </c>
      <c r="Z153" s="41">
        <v>0</v>
      </c>
      <c r="AA153" s="137"/>
      <c r="AB153" s="42">
        <v>1</v>
      </c>
      <c r="AC153" s="149">
        <f t="shared" si="27"/>
        <v>99</v>
      </c>
      <c r="AD153" s="119">
        <v>80</v>
      </c>
      <c r="AE153" s="175">
        <v>82</v>
      </c>
      <c r="AF153" s="176">
        <v>16.05</v>
      </c>
      <c r="AG153" s="176">
        <v>1.34</v>
      </c>
      <c r="AH153" s="120"/>
      <c r="AI153" s="120"/>
      <c r="AJ153" s="120"/>
      <c r="AK153" s="120"/>
      <c r="AL153" s="120"/>
      <c r="AM153" s="120"/>
      <c r="AN153" s="120"/>
      <c r="AO153" s="120"/>
    </row>
    <row r="154" spans="1:41" ht="14.1" customHeight="1" x14ac:dyDescent="0.2">
      <c r="A154" s="34"/>
      <c r="B154" s="4" t="s">
        <v>150</v>
      </c>
      <c r="C154" s="122">
        <f>Produksi!D159</f>
        <v>0</v>
      </c>
      <c r="D154" s="122">
        <f>Produksi!F159</f>
        <v>0</v>
      </c>
      <c r="E154" s="123" t="e">
        <f>#REF!</f>
        <v>#REF!</v>
      </c>
      <c r="F154" s="124" t="e">
        <f>#REF!+#REF!</f>
        <v>#REF!</v>
      </c>
      <c r="G154" s="124"/>
      <c r="H154" s="124" t="e">
        <f t="shared" si="30"/>
        <v>#REF!</v>
      </c>
      <c r="I154" s="124">
        <f>'Pemakaian Dalam Negeri'!E161</f>
        <v>0</v>
      </c>
      <c r="J154" s="125">
        <f>'Pemakaian Dalam Negeri'!F161</f>
        <v>0</v>
      </c>
      <c r="K154" s="124">
        <f>'Pemakaian Dalam Negeri'!G161</f>
        <v>0</v>
      </c>
      <c r="L154" s="124">
        <f>'Pemakaian Dalam Negeri'!H161</f>
        <v>15.721100000000002</v>
      </c>
      <c r="M154" s="124">
        <f>'Pemakaian Dalam Negeri'!I161</f>
        <v>0</v>
      </c>
      <c r="N154" s="124">
        <f>'Pemakaian Dalam Negeri'!J161</f>
        <v>1556.3889000000001</v>
      </c>
      <c r="O154" s="124" t="e">
        <f t="shared" si="28"/>
        <v>#REF!</v>
      </c>
      <c r="P154" s="124" t="e">
        <f t="shared" si="29"/>
        <v>#REF!</v>
      </c>
      <c r="Q154" s="126" t="e">
        <f t="shared" si="22"/>
        <v>#REF!</v>
      </c>
      <c r="R154" s="126" t="e">
        <f t="shared" si="23"/>
        <v>#REF!</v>
      </c>
      <c r="S154" s="126" t="e">
        <f t="shared" si="24"/>
        <v>#REF!</v>
      </c>
      <c r="T154" s="126" t="e">
        <f t="shared" si="25"/>
        <v>#REF!</v>
      </c>
      <c r="U154" s="127" t="e">
        <f t="shared" si="26"/>
        <v>#REF!</v>
      </c>
      <c r="V154" s="150"/>
      <c r="W154" s="151">
        <v>100</v>
      </c>
      <c r="X154" s="151"/>
      <c r="Y154" s="151"/>
      <c r="Z154" s="151"/>
      <c r="AA154" s="137"/>
      <c r="AB154" s="42">
        <v>1</v>
      </c>
      <c r="AC154" s="149">
        <f t="shared" si="27"/>
        <v>99</v>
      </c>
      <c r="AD154" s="119">
        <v>80</v>
      </c>
      <c r="AE154" s="176">
        <v>82.13</v>
      </c>
      <c r="AF154" s="176">
        <v>16.97</v>
      </c>
      <c r="AG154" s="176">
        <v>0.47</v>
      </c>
      <c r="AH154" s="120"/>
      <c r="AI154" s="120"/>
      <c r="AJ154" s="120"/>
      <c r="AK154" s="120"/>
      <c r="AL154" s="120"/>
      <c r="AM154" s="120"/>
      <c r="AN154" s="120"/>
      <c r="AO154" s="120"/>
    </row>
    <row r="155" spans="1:41" ht="14.1" customHeight="1" x14ac:dyDescent="0.2">
      <c r="A155" s="34"/>
      <c r="B155" s="4" t="s">
        <v>151</v>
      </c>
      <c r="C155" s="122">
        <f>Produksi!D160</f>
        <v>600.47</v>
      </c>
      <c r="D155" s="122">
        <f>Produksi!F160</f>
        <v>600.47</v>
      </c>
      <c r="E155" s="123" t="e">
        <f>#REF!</f>
        <v>#REF!</v>
      </c>
      <c r="F155" s="124" t="e">
        <f>#REF!+#REF!</f>
        <v>#REF!</v>
      </c>
      <c r="G155" s="124"/>
      <c r="H155" s="124" t="e">
        <f t="shared" si="30"/>
        <v>#REF!</v>
      </c>
      <c r="I155" s="124">
        <f>'Pemakaian Dalam Negeri'!E162</f>
        <v>0</v>
      </c>
      <c r="J155" s="125">
        <f>'Pemakaian Dalam Negeri'!F162</f>
        <v>0</v>
      </c>
      <c r="K155" s="124">
        <f>'Pemakaian Dalam Negeri'!G162</f>
        <v>0</v>
      </c>
      <c r="L155" s="124">
        <f>'Pemakaian Dalam Negeri'!H162</f>
        <v>110.425</v>
      </c>
      <c r="M155" s="124">
        <f>'Pemakaian Dalam Negeri'!I162</f>
        <v>0</v>
      </c>
      <c r="N155" s="124">
        <f>'Pemakaian Dalam Negeri'!J162</f>
        <v>10932.075000000001</v>
      </c>
      <c r="O155" s="124" t="e">
        <f t="shared" si="28"/>
        <v>#REF!</v>
      </c>
      <c r="P155" s="124" t="e">
        <f t="shared" si="29"/>
        <v>#REF!</v>
      </c>
      <c r="Q155" s="126" t="e">
        <f t="shared" si="22"/>
        <v>#REF!</v>
      </c>
      <c r="R155" s="126" t="e">
        <f t="shared" si="23"/>
        <v>#REF!</v>
      </c>
      <c r="S155" s="126" t="e">
        <f t="shared" si="24"/>
        <v>#REF!</v>
      </c>
      <c r="T155" s="126" t="e">
        <f t="shared" si="25"/>
        <v>#REF!</v>
      </c>
      <c r="U155" s="127" t="e">
        <f t="shared" si="26"/>
        <v>#REF!</v>
      </c>
      <c r="V155" s="150"/>
      <c r="W155" s="151">
        <v>100</v>
      </c>
      <c r="X155" s="151"/>
      <c r="Y155" s="151"/>
      <c r="Z155" s="151"/>
      <c r="AA155" s="137"/>
      <c r="AB155" s="161">
        <v>0.5</v>
      </c>
      <c r="AC155" s="149">
        <f t="shared" si="27"/>
        <v>99.5</v>
      </c>
      <c r="AD155" s="119">
        <v>80</v>
      </c>
      <c r="AE155" s="176">
        <v>76.48</v>
      </c>
      <c r="AF155" s="176">
        <v>20.67</v>
      </c>
      <c r="AG155" s="176">
        <v>2.79</v>
      </c>
      <c r="AH155" s="120"/>
      <c r="AI155" s="120"/>
      <c r="AJ155" s="120"/>
      <c r="AK155" s="120"/>
      <c r="AL155" s="120"/>
      <c r="AM155" s="120"/>
      <c r="AN155" s="120"/>
      <c r="AO155" s="120"/>
    </row>
    <row r="156" spans="1:41" ht="14.1" customHeight="1" x14ac:dyDescent="0.2">
      <c r="A156" s="24"/>
      <c r="B156" s="4" t="s">
        <v>152</v>
      </c>
      <c r="C156" s="122">
        <f>Produksi!D161</f>
        <v>0</v>
      </c>
      <c r="D156" s="122">
        <f>Produksi!F161</f>
        <v>0</v>
      </c>
      <c r="E156" s="123" t="e">
        <f>#REF!</f>
        <v>#REF!</v>
      </c>
      <c r="F156" s="124" t="e">
        <f>#REF!+#REF!</f>
        <v>#REF!</v>
      </c>
      <c r="G156" s="124"/>
      <c r="H156" s="124" t="e">
        <f t="shared" si="30"/>
        <v>#REF!</v>
      </c>
      <c r="I156" s="124">
        <f>'Pemakaian Dalam Negeri'!E163</f>
        <v>0</v>
      </c>
      <c r="J156" s="125">
        <f>'Pemakaian Dalam Negeri'!F163</f>
        <v>0</v>
      </c>
      <c r="K156" s="124">
        <f>'Pemakaian Dalam Negeri'!G163</f>
        <v>0</v>
      </c>
      <c r="L156" s="124">
        <f>'Pemakaian Dalam Negeri'!H163</f>
        <v>0</v>
      </c>
      <c r="M156" s="124">
        <f>'Pemakaian Dalam Negeri'!I163</f>
        <v>0</v>
      </c>
      <c r="N156" s="124">
        <f>'Pemakaian Dalam Negeri'!J163</f>
        <v>0</v>
      </c>
      <c r="O156" s="124" t="e">
        <f t="shared" si="28"/>
        <v>#REF!</v>
      </c>
      <c r="P156" s="124" t="e">
        <f t="shared" si="29"/>
        <v>#REF!</v>
      </c>
      <c r="Q156" s="126" t="e">
        <f t="shared" si="22"/>
        <v>#REF!</v>
      </c>
      <c r="R156" s="126" t="e">
        <f t="shared" si="23"/>
        <v>#REF!</v>
      </c>
      <c r="S156" s="126" t="e">
        <f t="shared" si="24"/>
        <v>#REF!</v>
      </c>
      <c r="T156" s="126" t="e">
        <f t="shared" si="25"/>
        <v>#REF!</v>
      </c>
      <c r="U156" s="127" t="e">
        <f t="shared" si="26"/>
        <v>#REF!</v>
      </c>
      <c r="V156" s="150"/>
      <c r="W156" s="151">
        <v>100</v>
      </c>
      <c r="X156" s="151"/>
      <c r="Y156" s="151"/>
      <c r="Z156" s="151"/>
      <c r="AA156" s="137"/>
      <c r="AB156" s="161"/>
      <c r="AC156" s="149">
        <f t="shared" si="27"/>
        <v>100</v>
      </c>
      <c r="AD156" s="119">
        <v>68</v>
      </c>
      <c r="AE156" s="131">
        <v>61.88</v>
      </c>
      <c r="AF156" s="131">
        <v>14.28</v>
      </c>
      <c r="AG156" s="131">
        <v>0.14000000000000001</v>
      </c>
      <c r="AH156" s="120"/>
      <c r="AI156" s="120"/>
      <c r="AJ156" s="120"/>
      <c r="AK156" s="120"/>
      <c r="AL156" s="120"/>
      <c r="AM156" s="120"/>
      <c r="AN156" s="120"/>
      <c r="AO156" s="120"/>
    </row>
    <row r="157" spans="1:41" ht="14.1" customHeight="1" x14ac:dyDescent="0.2">
      <c r="A157" s="34"/>
      <c r="B157" s="4" t="s">
        <v>153</v>
      </c>
      <c r="C157" s="122">
        <f>Produksi!D162</f>
        <v>0</v>
      </c>
      <c r="D157" s="122">
        <f>Produksi!F162</f>
        <v>0</v>
      </c>
      <c r="E157" s="123" t="e">
        <f>#REF!</f>
        <v>#REF!</v>
      </c>
      <c r="F157" s="124" t="e">
        <f>#REF!+#REF!</f>
        <v>#REF!</v>
      </c>
      <c r="G157" s="124"/>
      <c r="H157" s="124" t="e">
        <f t="shared" si="30"/>
        <v>#REF!</v>
      </c>
      <c r="I157" s="124">
        <f>'Pemakaian Dalam Negeri'!E164</f>
        <v>0</v>
      </c>
      <c r="J157" s="125">
        <f>'Pemakaian Dalam Negeri'!F164</f>
        <v>0</v>
      </c>
      <c r="K157" s="124">
        <f>'Pemakaian Dalam Negeri'!G164</f>
        <v>0</v>
      </c>
      <c r="L157" s="124">
        <f>'Pemakaian Dalam Negeri'!H164</f>
        <v>8.4001999999999999</v>
      </c>
      <c r="M157" s="124">
        <f>'Pemakaian Dalam Negeri'!I164</f>
        <v>0</v>
      </c>
      <c r="N157" s="124">
        <f>'Pemakaian Dalam Negeri'!J164</f>
        <v>831.61979999999994</v>
      </c>
      <c r="O157" s="124" t="e">
        <f t="shared" si="28"/>
        <v>#REF!</v>
      </c>
      <c r="P157" s="124" t="e">
        <f t="shared" si="29"/>
        <v>#REF!</v>
      </c>
      <c r="Q157" s="126" t="e">
        <f t="shared" si="22"/>
        <v>#REF!</v>
      </c>
      <c r="R157" s="126" t="e">
        <f t="shared" si="23"/>
        <v>#REF!</v>
      </c>
      <c r="S157" s="126" t="e">
        <f t="shared" si="24"/>
        <v>#REF!</v>
      </c>
      <c r="T157" s="126" t="e">
        <f t="shared" si="25"/>
        <v>#REF!</v>
      </c>
      <c r="U157" s="127" t="e">
        <f t="shared" si="26"/>
        <v>#REF!</v>
      </c>
      <c r="V157" s="150"/>
      <c r="W157" s="151">
        <v>100</v>
      </c>
      <c r="X157" s="151"/>
      <c r="Y157" s="151"/>
      <c r="Z157" s="151"/>
      <c r="AA157" s="137"/>
      <c r="AB157" s="179"/>
      <c r="AC157" s="149">
        <f t="shared" si="27"/>
        <v>100</v>
      </c>
      <c r="AD157" s="119">
        <v>45</v>
      </c>
      <c r="AE157" s="131">
        <v>67.95</v>
      </c>
      <c r="AF157" s="131">
        <v>6.21</v>
      </c>
      <c r="AG157" s="131">
        <v>1.71</v>
      </c>
      <c r="AH157" s="120"/>
      <c r="AI157" s="120"/>
      <c r="AJ157" s="120"/>
      <c r="AK157" s="120"/>
      <c r="AL157" s="120"/>
      <c r="AM157" s="120"/>
      <c r="AN157" s="120"/>
      <c r="AO157" s="120"/>
    </row>
    <row r="158" spans="1:41" ht="14.1" customHeight="1" x14ac:dyDescent="0.2">
      <c r="A158" s="24"/>
      <c r="B158" s="4" t="s">
        <v>154</v>
      </c>
      <c r="C158" s="122">
        <f>Produksi!D163</f>
        <v>0</v>
      </c>
      <c r="D158" s="122">
        <f>Produksi!F163</f>
        <v>0</v>
      </c>
      <c r="E158" s="123" t="e">
        <f>#REF!</f>
        <v>#REF!</v>
      </c>
      <c r="F158" s="124" t="e">
        <f>#REF!+#REF!</f>
        <v>#REF!</v>
      </c>
      <c r="G158" s="124"/>
      <c r="H158" s="124" t="e">
        <f t="shared" si="30"/>
        <v>#REF!</v>
      </c>
      <c r="I158" s="124">
        <f>'Pemakaian Dalam Negeri'!E165</f>
        <v>0</v>
      </c>
      <c r="J158" s="125">
        <f>'Pemakaian Dalam Negeri'!F165</f>
        <v>0</v>
      </c>
      <c r="K158" s="124">
        <f>'Pemakaian Dalam Negeri'!G165</f>
        <v>0</v>
      </c>
      <c r="L158" s="124">
        <f>'Pemakaian Dalam Negeri'!H165</f>
        <v>0.68500000000000005</v>
      </c>
      <c r="M158" s="124">
        <f>'Pemakaian Dalam Negeri'!I165</f>
        <v>0</v>
      </c>
      <c r="N158" s="124">
        <f>'Pemakaian Dalam Negeri'!J165</f>
        <v>136.315</v>
      </c>
      <c r="O158" s="124" t="e">
        <f t="shared" si="28"/>
        <v>#REF!</v>
      </c>
      <c r="P158" s="124" t="e">
        <f t="shared" si="29"/>
        <v>#REF!</v>
      </c>
      <c r="Q158" s="126" t="e">
        <f t="shared" si="22"/>
        <v>#REF!</v>
      </c>
      <c r="R158" s="126" t="e">
        <f t="shared" si="23"/>
        <v>#REF!</v>
      </c>
      <c r="S158" s="126" t="e">
        <f t="shared" si="24"/>
        <v>#REF!</v>
      </c>
      <c r="T158" s="126" t="e">
        <f t="shared" si="25"/>
        <v>#REF!</v>
      </c>
      <c r="U158" s="127" t="e">
        <f t="shared" si="26"/>
        <v>#REF!</v>
      </c>
      <c r="V158" s="150"/>
      <c r="W158" s="151">
        <v>100</v>
      </c>
      <c r="X158" s="151"/>
      <c r="Y158" s="151"/>
      <c r="Z158" s="151"/>
      <c r="AA158" s="137"/>
      <c r="AB158" s="137"/>
      <c r="AC158" s="149">
        <f t="shared" si="27"/>
        <v>100</v>
      </c>
      <c r="AD158" s="119">
        <v>20</v>
      </c>
      <c r="AE158" s="131">
        <v>101</v>
      </c>
      <c r="AF158" s="131">
        <v>14.4</v>
      </c>
      <c r="AG158" s="131">
        <v>2.6</v>
      </c>
      <c r="AH158" s="120"/>
      <c r="AI158" s="120"/>
      <c r="AJ158" s="120"/>
      <c r="AK158" s="120"/>
      <c r="AL158" s="120"/>
      <c r="AM158" s="120"/>
      <c r="AN158" s="120"/>
      <c r="AO158" s="120"/>
    </row>
    <row r="159" spans="1:41" ht="14.1" customHeight="1" x14ac:dyDescent="0.2">
      <c r="A159" s="23"/>
      <c r="B159" s="17" t="s">
        <v>155</v>
      </c>
      <c r="C159" s="122">
        <f>Produksi!D164</f>
        <v>0</v>
      </c>
      <c r="D159" s="122">
        <f>Produksi!F164</f>
        <v>0</v>
      </c>
      <c r="E159" s="123" t="e">
        <f>#REF!</f>
        <v>#REF!</v>
      </c>
      <c r="F159" s="124" t="e">
        <f>#REF!+#REF!</f>
        <v>#REF!</v>
      </c>
      <c r="G159" s="124"/>
      <c r="H159" s="124" t="e">
        <f t="shared" si="30"/>
        <v>#REF!</v>
      </c>
      <c r="I159" s="124">
        <f>'Pemakaian Dalam Negeri'!E166</f>
        <v>0</v>
      </c>
      <c r="J159" s="125">
        <f>'Pemakaian Dalam Negeri'!F166</f>
        <v>0</v>
      </c>
      <c r="K159" s="124">
        <f>'Pemakaian Dalam Negeri'!G166</f>
        <v>0</v>
      </c>
      <c r="L159" s="124">
        <f>'Pemakaian Dalam Negeri'!H166</f>
        <v>0</v>
      </c>
      <c r="M159" s="124">
        <f>'Pemakaian Dalam Negeri'!I166</f>
        <v>0</v>
      </c>
      <c r="N159" s="124">
        <f>'Pemakaian Dalam Negeri'!J166</f>
        <v>0</v>
      </c>
      <c r="O159" s="124" t="e">
        <f t="shared" si="28"/>
        <v>#REF!</v>
      </c>
      <c r="P159" s="124" t="e">
        <f t="shared" si="29"/>
        <v>#REF!</v>
      </c>
      <c r="Q159" s="126" t="e">
        <f t="shared" si="22"/>
        <v>#REF!</v>
      </c>
      <c r="R159" s="126" t="e">
        <f t="shared" si="23"/>
        <v>#REF!</v>
      </c>
      <c r="S159" s="126" t="e">
        <f t="shared" si="24"/>
        <v>#REF!</v>
      </c>
      <c r="T159" s="126" t="e">
        <f t="shared" si="25"/>
        <v>#REF!</v>
      </c>
      <c r="U159" s="127" t="e">
        <f t="shared" si="26"/>
        <v>#REF!</v>
      </c>
      <c r="V159" s="150"/>
      <c r="W159" s="151">
        <v>100</v>
      </c>
      <c r="X159" s="151"/>
      <c r="Y159" s="151"/>
      <c r="Z159" s="151"/>
      <c r="AA159" s="137"/>
      <c r="AB159" s="180">
        <v>0</v>
      </c>
      <c r="AC159" s="149">
        <f t="shared" si="27"/>
        <v>100</v>
      </c>
      <c r="AD159" s="119">
        <v>100</v>
      </c>
      <c r="AE159" s="131">
        <v>75</v>
      </c>
      <c r="AF159" s="131">
        <v>16.100000000000001</v>
      </c>
      <c r="AG159" s="131">
        <v>0.7</v>
      </c>
      <c r="AH159" s="120"/>
      <c r="AI159" s="120"/>
      <c r="AJ159" s="120"/>
      <c r="AK159" s="120"/>
      <c r="AL159" s="120"/>
      <c r="AM159" s="120"/>
      <c r="AN159" s="120"/>
      <c r="AO159" s="120"/>
    </row>
    <row r="160" spans="1:41" ht="14.1" customHeight="1" x14ac:dyDescent="0.2">
      <c r="A160" s="29"/>
      <c r="B160" s="18" t="s">
        <v>156</v>
      </c>
      <c r="C160" s="122">
        <f>Produksi!D165</f>
        <v>0</v>
      </c>
      <c r="D160" s="122">
        <f>Produksi!F165</f>
        <v>0</v>
      </c>
      <c r="E160" s="123" t="e">
        <f>#REF!</f>
        <v>#REF!</v>
      </c>
      <c r="F160" s="124" t="e">
        <f>#REF!+#REF!</f>
        <v>#REF!</v>
      </c>
      <c r="G160" s="124"/>
      <c r="H160" s="124" t="e">
        <f t="shared" si="30"/>
        <v>#REF!</v>
      </c>
      <c r="I160" s="124">
        <f>'Pemakaian Dalam Negeri'!E167</f>
        <v>0</v>
      </c>
      <c r="J160" s="125">
        <f>'Pemakaian Dalam Negeri'!F167</f>
        <v>0</v>
      </c>
      <c r="K160" s="124">
        <f>'Pemakaian Dalam Negeri'!G167</f>
        <v>0</v>
      </c>
      <c r="L160" s="124">
        <f>'Pemakaian Dalam Negeri'!H167</f>
        <v>5.7510172191733398E-2</v>
      </c>
      <c r="M160" s="124">
        <f>'Pemakaian Dalam Negeri'!I167</f>
        <v>0</v>
      </c>
      <c r="N160" s="124">
        <f>'Pemakaian Dalam Negeri'!J167</f>
        <v>5.6935070469816065</v>
      </c>
      <c r="O160" s="124" t="e">
        <f t="shared" si="28"/>
        <v>#REF!</v>
      </c>
      <c r="P160" s="124" t="e">
        <f t="shared" si="29"/>
        <v>#REF!</v>
      </c>
      <c r="Q160" s="126" t="e">
        <f t="shared" si="22"/>
        <v>#REF!</v>
      </c>
      <c r="R160" s="126" t="e">
        <f t="shared" si="23"/>
        <v>#REF!</v>
      </c>
      <c r="S160" s="126" t="e">
        <f t="shared" si="24"/>
        <v>#REF!</v>
      </c>
      <c r="T160" s="126" t="e">
        <f t="shared" si="25"/>
        <v>#REF!</v>
      </c>
      <c r="U160" s="127" t="e">
        <f t="shared" si="26"/>
        <v>#REF!</v>
      </c>
      <c r="V160" s="150"/>
      <c r="W160" s="151">
        <v>100</v>
      </c>
      <c r="X160" s="151"/>
      <c r="Y160" s="151"/>
      <c r="Z160" s="151"/>
      <c r="AA160" s="137"/>
      <c r="AB160" s="42">
        <v>1.56</v>
      </c>
      <c r="AC160" s="149">
        <f t="shared" si="27"/>
        <v>98.44</v>
      </c>
      <c r="AD160" s="119">
        <v>100</v>
      </c>
      <c r="AE160" s="131">
        <v>41</v>
      </c>
      <c r="AF160" s="131">
        <v>1.4</v>
      </c>
      <c r="AG160" s="131">
        <v>0.3</v>
      </c>
      <c r="AH160" s="120"/>
      <c r="AI160" s="120"/>
      <c r="AJ160" s="120"/>
      <c r="AK160" s="120"/>
      <c r="AL160" s="120"/>
      <c r="AM160" s="120"/>
      <c r="AN160" s="120"/>
      <c r="AO160" s="120"/>
    </row>
    <row r="161" spans="1:41" s="163" customFormat="1" x14ac:dyDescent="0.2">
      <c r="A161" s="29"/>
      <c r="B161" s="18" t="s">
        <v>28</v>
      </c>
      <c r="C161" s="122">
        <f>Produksi!D166</f>
        <v>0</v>
      </c>
      <c r="D161" s="122">
        <f>Produksi!F166</f>
        <v>0</v>
      </c>
      <c r="E161" s="123" t="e">
        <f>#REF!</f>
        <v>#REF!</v>
      </c>
      <c r="F161" s="124" t="e">
        <f>#REF!+#REF!</f>
        <v>#REF!</v>
      </c>
      <c r="G161" s="124"/>
      <c r="H161" s="124" t="e">
        <f t="shared" si="30"/>
        <v>#REF!</v>
      </c>
      <c r="I161" s="124">
        <f>'Pemakaian Dalam Negeri'!E168</f>
        <v>0</v>
      </c>
      <c r="J161" s="125">
        <f>'Pemakaian Dalam Negeri'!F168</f>
        <v>0</v>
      </c>
      <c r="K161" s="124">
        <f>'Pemakaian Dalam Negeri'!G168</f>
        <v>0</v>
      </c>
      <c r="L161" s="124">
        <f>'Pemakaian Dalam Negeri'!H168</f>
        <v>0.36886230322514996</v>
      </c>
      <c r="M161" s="124">
        <f>'Pemakaian Dalam Negeri'!I168</f>
        <v>0</v>
      </c>
      <c r="N161" s="124">
        <f>'Pemakaian Dalam Negeri'!J168</f>
        <v>36.517368019289847</v>
      </c>
      <c r="O161" s="124" t="e">
        <f t="shared" si="28"/>
        <v>#REF!</v>
      </c>
      <c r="P161" s="124" t="e">
        <f t="shared" si="29"/>
        <v>#REF!</v>
      </c>
      <c r="Q161" s="126" t="e">
        <f t="shared" si="22"/>
        <v>#REF!</v>
      </c>
      <c r="R161" s="126" t="e">
        <f t="shared" si="23"/>
        <v>#REF!</v>
      </c>
      <c r="S161" s="126" t="e">
        <f t="shared" si="24"/>
        <v>#REF!</v>
      </c>
      <c r="T161" s="126" t="e">
        <f t="shared" si="25"/>
        <v>#REF!</v>
      </c>
      <c r="U161" s="127" t="e">
        <f t="shared" si="26"/>
        <v>#REF!</v>
      </c>
      <c r="W161" s="151">
        <v>100</v>
      </c>
      <c r="AB161" s="148">
        <v>2.61</v>
      </c>
      <c r="AC161" s="149">
        <f t="shared" si="27"/>
        <v>97.39</v>
      </c>
      <c r="AD161" s="119">
        <v>100</v>
      </c>
      <c r="AE161" s="131">
        <v>80</v>
      </c>
      <c r="AF161" s="131">
        <v>18.100000000000001</v>
      </c>
      <c r="AG161" s="131">
        <v>0.9</v>
      </c>
      <c r="AH161" s="120"/>
      <c r="AI161" s="120"/>
      <c r="AJ161" s="120"/>
      <c r="AK161" s="120"/>
      <c r="AL161" s="120"/>
      <c r="AM161" s="120"/>
    </row>
    <row r="162" spans="1:41" s="163" customFormat="1" x14ac:dyDescent="0.2">
      <c r="A162" s="29"/>
      <c r="B162" s="18" t="s">
        <v>29</v>
      </c>
      <c r="C162" s="122">
        <f>Produksi!D167</f>
        <v>0</v>
      </c>
      <c r="D162" s="122">
        <f>Produksi!F167</f>
        <v>0</v>
      </c>
      <c r="E162" s="123" t="e">
        <f>#REF!</f>
        <v>#REF!</v>
      </c>
      <c r="F162" s="124" t="e">
        <f>#REF!+#REF!</f>
        <v>#REF!</v>
      </c>
      <c r="G162" s="124"/>
      <c r="H162" s="124" t="e">
        <f t="shared" si="30"/>
        <v>#REF!</v>
      </c>
      <c r="I162" s="124">
        <f>'Pemakaian Dalam Negeri'!E169</f>
        <v>0</v>
      </c>
      <c r="J162" s="125">
        <f>'Pemakaian Dalam Negeri'!F169</f>
        <v>0</v>
      </c>
      <c r="K162" s="124">
        <f>'Pemakaian Dalam Negeri'!G169</f>
        <v>0</v>
      </c>
      <c r="L162" s="124">
        <f>'Pemakaian Dalam Negeri'!H169</f>
        <v>0</v>
      </c>
      <c r="M162" s="124">
        <f>'Pemakaian Dalam Negeri'!I169</f>
        <v>0</v>
      </c>
      <c r="N162" s="124">
        <f>'Pemakaian Dalam Negeri'!J169</f>
        <v>0</v>
      </c>
      <c r="O162" s="124" t="e">
        <f t="shared" si="28"/>
        <v>#REF!</v>
      </c>
      <c r="P162" s="124" t="e">
        <f t="shared" si="29"/>
        <v>#REF!</v>
      </c>
      <c r="Q162" s="126" t="e">
        <f t="shared" si="22"/>
        <v>#REF!</v>
      </c>
      <c r="R162" s="126" t="e">
        <f t="shared" si="23"/>
        <v>#REF!</v>
      </c>
      <c r="S162" s="126" t="e">
        <f t="shared" si="24"/>
        <v>#REF!</v>
      </c>
      <c r="T162" s="126" t="e">
        <f t="shared" si="25"/>
        <v>#REF!</v>
      </c>
      <c r="U162" s="127" t="e">
        <f t="shared" si="26"/>
        <v>#REF!</v>
      </c>
      <c r="W162" s="151">
        <v>100</v>
      </c>
      <c r="AB162" s="42">
        <v>1.55</v>
      </c>
      <c r="AC162" s="149">
        <f t="shared" si="27"/>
        <v>98.45</v>
      </c>
      <c r="AD162" s="119">
        <v>100</v>
      </c>
      <c r="AE162" s="131">
        <v>78</v>
      </c>
      <c r="AF162" s="131">
        <v>14.5</v>
      </c>
      <c r="AG162" s="131">
        <v>0.6</v>
      </c>
      <c r="AH162" s="120"/>
      <c r="AI162" s="120"/>
      <c r="AJ162" s="120"/>
      <c r="AK162" s="120"/>
      <c r="AL162" s="120"/>
      <c r="AM162" s="120"/>
    </row>
    <row r="163" spans="1:41" s="163" customFormat="1" x14ac:dyDescent="0.2">
      <c r="A163" s="29"/>
      <c r="B163" s="18" t="s">
        <v>30</v>
      </c>
      <c r="C163" s="122">
        <f>Produksi!D168</f>
        <v>0</v>
      </c>
      <c r="D163" s="122">
        <f>Produksi!F168</f>
        <v>0</v>
      </c>
      <c r="E163" s="123" t="e">
        <f>#REF!</f>
        <v>#REF!</v>
      </c>
      <c r="F163" s="124" t="e">
        <f>#REF!+#REF!</f>
        <v>#REF!</v>
      </c>
      <c r="G163" s="124"/>
      <c r="H163" s="124" t="e">
        <f t="shared" si="30"/>
        <v>#REF!</v>
      </c>
      <c r="I163" s="124">
        <f>'Pemakaian Dalam Negeri'!E170</f>
        <v>0</v>
      </c>
      <c r="J163" s="125">
        <f>'Pemakaian Dalam Negeri'!F170</f>
        <v>0</v>
      </c>
      <c r="K163" s="124">
        <f>'Pemakaian Dalam Negeri'!G170</f>
        <v>0</v>
      </c>
      <c r="L163" s="124">
        <f>'Pemakaian Dalam Negeri'!H170</f>
        <v>0</v>
      </c>
      <c r="M163" s="124">
        <f>'Pemakaian Dalam Negeri'!I170</f>
        <v>0</v>
      </c>
      <c r="N163" s="124">
        <f>'Pemakaian Dalam Negeri'!J170</f>
        <v>0</v>
      </c>
      <c r="O163" s="124" t="e">
        <f t="shared" si="28"/>
        <v>#REF!</v>
      </c>
      <c r="P163" s="124" t="e">
        <f t="shared" si="29"/>
        <v>#REF!</v>
      </c>
      <c r="Q163" s="126" t="e">
        <f t="shared" si="22"/>
        <v>#REF!</v>
      </c>
      <c r="R163" s="126" t="e">
        <f t="shared" si="23"/>
        <v>#REF!</v>
      </c>
      <c r="S163" s="126" t="e">
        <f t="shared" si="24"/>
        <v>#REF!</v>
      </c>
      <c r="T163" s="126" t="e">
        <f t="shared" si="25"/>
        <v>#REF!</v>
      </c>
      <c r="U163" s="127" t="e">
        <f t="shared" si="26"/>
        <v>#REF!</v>
      </c>
      <c r="W163" s="151">
        <v>100</v>
      </c>
      <c r="AB163" s="42"/>
      <c r="AC163" s="149">
        <f t="shared" si="27"/>
        <v>100</v>
      </c>
      <c r="AD163" s="119">
        <v>100</v>
      </c>
      <c r="AE163" s="131">
        <v>108</v>
      </c>
      <c r="AF163" s="131">
        <v>22.3</v>
      </c>
      <c r="AG163" s="131">
        <v>1.2</v>
      </c>
      <c r="AH163" s="120"/>
      <c r="AI163" s="120"/>
      <c r="AJ163" s="120"/>
      <c r="AK163" s="120"/>
      <c r="AL163" s="120"/>
      <c r="AM163" s="120"/>
    </row>
    <row r="164" spans="1:41" s="163" customFormat="1" x14ac:dyDescent="0.2">
      <c r="A164" s="29"/>
      <c r="B164" s="18" t="s">
        <v>31</v>
      </c>
      <c r="C164" s="122">
        <f>Produksi!D169</f>
        <v>0</v>
      </c>
      <c r="D164" s="122">
        <f>Produksi!F169</f>
        <v>0</v>
      </c>
      <c r="E164" s="123" t="e">
        <f>#REF!</f>
        <v>#REF!</v>
      </c>
      <c r="F164" s="124" t="e">
        <f>#REF!+#REF!</f>
        <v>#REF!</v>
      </c>
      <c r="G164" s="124"/>
      <c r="H164" s="124" t="e">
        <f t="shared" si="30"/>
        <v>#REF!</v>
      </c>
      <c r="I164" s="124">
        <f>'Pemakaian Dalam Negeri'!E171</f>
        <v>0</v>
      </c>
      <c r="J164" s="125">
        <f>'Pemakaian Dalam Negeri'!F171</f>
        <v>0</v>
      </c>
      <c r="K164" s="124">
        <f>'Pemakaian Dalam Negeri'!G171</f>
        <v>0</v>
      </c>
      <c r="L164" s="124">
        <f>'Pemakaian Dalam Negeri'!H171</f>
        <v>0.12</v>
      </c>
      <c r="M164" s="124">
        <f>'Pemakaian Dalam Negeri'!I171</f>
        <v>0</v>
      </c>
      <c r="N164" s="124">
        <f>'Pemakaian Dalam Negeri'!J171</f>
        <v>11.88</v>
      </c>
      <c r="O164" s="124" t="e">
        <f t="shared" si="28"/>
        <v>#REF!</v>
      </c>
      <c r="P164" s="124" t="e">
        <f t="shared" si="29"/>
        <v>#REF!</v>
      </c>
      <c r="Q164" s="126" t="e">
        <f t="shared" si="22"/>
        <v>#REF!</v>
      </c>
      <c r="R164" s="126" t="e">
        <f t="shared" si="23"/>
        <v>#REF!</v>
      </c>
      <c r="S164" s="126" t="e">
        <f t="shared" si="24"/>
        <v>#REF!</v>
      </c>
      <c r="T164" s="126" t="e">
        <f t="shared" si="25"/>
        <v>#REF!</v>
      </c>
      <c r="U164" s="127" t="e">
        <f t="shared" si="26"/>
        <v>#REF!</v>
      </c>
      <c r="W164" s="151">
        <v>100</v>
      </c>
      <c r="AB164" s="42"/>
      <c r="AC164" s="149">
        <f t="shared" si="27"/>
        <v>100</v>
      </c>
      <c r="AD164" s="119">
        <v>100</v>
      </c>
      <c r="AE164" s="131">
        <v>100</v>
      </c>
      <c r="AF164" s="131">
        <v>18.8</v>
      </c>
      <c r="AG164" s="131">
        <v>2.2000000000000002</v>
      </c>
      <c r="AH164" s="120"/>
      <c r="AI164" s="120"/>
      <c r="AJ164" s="120"/>
      <c r="AK164" s="120"/>
      <c r="AL164" s="120"/>
      <c r="AM164" s="120"/>
    </row>
    <row r="165" spans="1:41" s="163" customFormat="1" x14ac:dyDescent="0.2">
      <c r="A165" s="29"/>
      <c r="B165" s="18" t="s">
        <v>32</v>
      </c>
      <c r="C165" s="122">
        <f>Produksi!D170</f>
        <v>0</v>
      </c>
      <c r="D165" s="122">
        <f>Produksi!F170</f>
        <v>0</v>
      </c>
      <c r="E165" s="123" t="e">
        <f>#REF!</f>
        <v>#REF!</v>
      </c>
      <c r="F165" s="124" t="e">
        <f>#REF!+#REF!</f>
        <v>#REF!</v>
      </c>
      <c r="G165" s="124"/>
      <c r="H165" s="124" t="e">
        <f t="shared" si="30"/>
        <v>#REF!</v>
      </c>
      <c r="I165" s="124">
        <f>'Pemakaian Dalam Negeri'!E172</f>
        <v>0</v>
      </c>
      <c r="J165" s="125">
        <f>'Pemakaian Dalam Negeri'!F172</f>
        <v>0</v>
      </c>
      <c r="K165" s="124">
        <f>'Pemakaian Dalam Negeri'!G172</f>
        <v>0</v>
      </c>
      <c r="L165" s="124">
        <f>'Pemakaian Dalam Negeri'!H172</f>
        <v>0.61888695798504501</v>
      </c>
      <c r="M165" s="124">
        <f>'Pemakaian Dalam Negeri'!I172</f>
        <v>0</v>
      </c>
      <c r="N165" s="124">
        <f>'Pemakaian Dalam Negeri'!J172</f>
        <v>61.269808840519453</v>
      </c>
      <c r="O165" s="124" t="e">
        <f t="shared" si="28"/>
        <v>#REF!</v>
      </c>
      <c r="P165" s="124" t="e">
        <f t="shared" si="29"/>
        <v>#REF!</v>
      </c>
      <c r="Q165" s="126" t="e">
        <f t="shared" si="22"/>
        <v>#REF!</v>
      </c>
      <c r="R165" s="126" t="e">
        <f t="shared" si="23"/>
        <v>#REF!</v>
      </c>
      <c r="S165" s="126" t="e">
        <f t="shared" si="24"/>
        <v>#REF!</v>
      </c>
      <c r="T165" s="126" t="e">
        <f t="shared" si="25"/>
        <v>#REF!</v>
      </c>
      <c r="U165" s="127" t="e">
        <f t="shared" si="26"/>
        <v>#REF!</v>
      </c>
      <c r="W165" s="151">
        <v>100</v>
      </c>
      <c r="AB165" s="42"/>
      <c r="AC165" s="149">
        <f t="shared" si="27"/>
        <v>100</v>
      </c>
      <c r="AD165" s="119">
        <v>100</v>
      </c>
      <c r="AE165" s="131">
        <v>80</v>
      </c>
      <c r="AF165" s="131">
        <v>16.2</v>
      </c>
      <c r="AG165" s="131">
        <v>0.5</v>
      </c>
      <c r="AH165" s="120"/>
      <c r="AI165" s="120"/>
      <c r="AJ165" s="120"/>
      <c r="AK165" s="120"/>
      <c r="AL165" s="120"/>
      <c r="AM165" s="120"/>
    </row>
    <row r="166" spans="1:41" ht="14.1" customHeight="1" x14ac:dyDescent="0.2">
      <c r="A166" s="29"/>
      <c r="B166" s="18" t="s">
        <v>33</v>
      </c>
      <c r="C166" s="122">
        <f>Produksi!D171</f>
        <v>103.33</v>
      </c>
      <c r="D166" s="122">
        <f>Produksi!F171</f>
        <v>103.33</v>
      </c>
      <c r="E166" s="123" t="e">
        <f>#REF!</f>
        <v>#REF!</v>
      </c>
      <c r="F166" s="124" t="e">
        <f>#REF!+#REF!</f>
        <v>#REF!</v>
      </c>
      <c r="G166" s="124"/>
      <c r="H166" s="124" t="e">
        <f t="shared" si="30"/>
        <v>#REF!</v>
      </c>
      <c r="I166" s="124">
        <f>'Pemakaian Dalam Negeri'!E173</f>
        <v>0</v>
      </c>
      <c r="J166" s="125">
        <f>'Pemakaian Dalam Negeri'!F173</f>
        <v>0</v>
      </c>
      <c r="K166" s="124">
        <f>'Pemakaian Dalam Negeri'!G173</f>
        <v>0</v>
      </c>
      <c r="L166" s="124">
        <f>'Pemakaian Dalam Negeri'!H173</f>
        <v>0.68</v>
      </c>
      <c r="M166" s="124">
        <f>'Pemakaian Dalam Negeri'!I173</f>
        <v>0</v>
      </c>
      <c r="N166" s="124">
        <f>'Pemakaian Dalam Negeri'!J173</f>
        <v>67.319999999999993</v>
      </c>
      <c r="O166" s="124" t="e">
        <f t="shared" si="28"/>
        <v>#REF!</v>
      </c>
      <c r="P166" s="124" t="e">
        <f t="shared" si="29"/>
        <v>#REF!</v>
      </c>
      <c r="Q166" s="126" t="e">
        <f t="shared" si="22"/>
        <v>#REF!</v>
      </c>
      <c r="R166" s="126" t="e">
        <f t="shared" si="23"/>
        <v>#REF!</v>
      </c>
      <c r="S166" s="126" t="e">
        <f t="shared" si="24"/>
        <v>#REF!</v>
      </c>
      <c r="T166" s="126" t="e">
        <f t="shared" si="25"/>
        <v>#REF!</v>
      </c>
      <c r="U166" s="127" t="e">
        <f t="shared" si="26"/>
        <v>#REF!</v>
      </c>
      <c r="V166" s="135"/>
      <c r="W166" s="136">
        <v>100</v>
      </c>
      <c r="X166" s="136">
        <v>0</v>
      </c>
      <c r="Y166" s="136">
        <v>0</v>
      </c>
      <c r="Z166" s="136">
        <v>0</v>
      </c>
      <c r="AA166" s="137"/>
      <c r="AB166" s="42"/>
      <c r="AC166" s="153">
        <f t="shared" si="27"/>
        <v>100</v>
      </c>
      <c r="AD166" s="119">
        <v>100</v>
      </c>
      <c r="AE166" s="131">
        <v>89</v>
      </c>
      <c r="AF166" s="131">
        <v>18.7</v>
      </c>
      <c r="AG166" s="131">
        <v>1</v>
      </c>
      <c r="AH166" s="120"/>
      <c r="AI166" s="120"/>
      <c r="AJ166" s="120"/>
      <c r="AK166" s="120"/>
      <c r="AL166" s="120"/>
      <c r="AM166" s="120"/>
      <c r="AN166" s="120"/>
      <c r="AO166" s="120"/>
    </row>
    <row r="167" spans="1:41" ht="14.1" customHeight="1" x14ac:dyDescent="0.2">
      <c r="A167" s="24"/>
      <c r="B167" s="20" t="s">
        <v>34</v>
      </c>
      <c r="C167" s="122">
        <f>Produksi!D172</f>
        <v>0</v>
      </c>
      <c r="D167" s="122">
        <f>Produksi!F172</f>
        <v>0</v>
      </c>
      <c r="E167" s="123" t="e">
        <f>#REF!</f>
        <v>#REF!</v>
      </c>
      <c r="F167" s="124" t="e">
        <f>#REF!+#REF!</f>
        <v>#REF!</v>
      </c>
      <c r="G167" s="124"/>
      <c r="H167" s="124" t="e">
        <f t="shared" si="30"/>
        <v>#REF!</v>
      </c>
      <c r="I167" s="124">
        <f>'Pemakaian Dalam Negeri'!E174</f>
        <v>0</v>
      </c>
      <c r="J167" s="125">
        <f>'Pemakaian Dalam Negeri'!F174</f>
        <v>0</v>
      </c>
      <c r="K167" s="124">
        <f>'Pemakaian Dalam Negeri'!G174</f>
        <v>0</v>
      </c>
      <c r="L167" s="124">
        <f>'Pemakaian Dalam Negeri'!H174</f>
        <v>0.86943115777277302</v>
      </c>
      <c r="M167" s="124">
        <f>'Pemakaian Dalam Negeri'!I174</f>
        <v>0</v>
      </c>
      <c r="N167" s="124">
        <f>'Pemakaian Dalam Negeri'!J174</f>
        <v>86.073684619504533</v>
      </c>
      <c r="O167" s="124" t="e">
        <f t="shared" si="28"/>
        <v>#REF!</v>
      </c>
      <c r="P167" s="124" t="e">
        <f t="shared" si="29"/>
        <v>#REF!</v>
      </c>
      <c r="Q167" s="126" t="e">
        <f t="shared" si="22"/>
        <v>#REF!</v>
      </c>
      <c r="R167" s="126" t="e">
        <f t="shared" si="23"/>
        <v>#REF!</v>
      </c>
      <c r="S167" s="126" t="e">
        <f t="shared" si="24"/>
        <v>#REF!</v>
      </c>
      <c r="T167" s="126" t="e">
        <f t="shared" si="25"/>
        <v>#REF!</v>
      </c>
      <c r="U167" s="127" t="e">
        <f t="shared" si="26"/>
        <v>#REF!</v>
      </c>
      <c r="V167" s="135"/>
      <c r="W167" s="136"/>
      <c r="X167" s="136"/>
      <c r="Y167" s="136"/>
      <c r="Z167" s="136"/>
      <c r="AA167" s="152"/>
      <c r="AB167" s="42"/>
      <c r="AC167" s="153"/>
      <c r="AD167" s="163">
        <v>89</v>
      </c>
      <c r="AE167" s="163">
        <v>97</v>
      </c>
      <c r="AF167" s="163">
        <v>17.899999999999999</v>
      </c>
      <c r="AG167" s="163">
        <v>2</v>
      </c>
      <c r="AH167" s="163"/>
      <c r="AI167" s="163"/>
      <c r="AJ167" s="163"/>
      <c r="AK167" s="163"/>
      <c r="AL167" s="163"/>
      <c r="AM167" s="163"/>
      <c r="AN167" s="120"/>
      <c r="AO167" s="120"/>
    </row>
    <row r="168" spans="1:41" s="65" customFormat="1" ht="14.1" customHeight="1" x14ac:dyDescent="0.2">
      <c r="A168" s="24"/>
      <c r="B168" s="20" t="s">
        <v>35</v>
      </c>
      <c r="C168" s="122">
        <f>Produksi!D173</f>
        <v>0</v>
      </c>
      <c r="D168" s="122">
        <f>Produksi!F173</f>
        <v>0</v>
      </c>
      <c r="E168" s="123" t="e">
        <f>#REF!</f>
        <v>#REF!</v>
      </c>
      <c r="F168" s="124" t="e">
        <f>#REF!+#REF!</f>
        <v>#REF!</v>
      </c>
      <c r="G168" s="124"/>
      <c r="H168" s="124" t="e">
        <f t="shared" si="30"/>
        <v>#REF!</v>
      </c>
      <c r="I168" s="124">
        <f>'Pemakaian Dalam Negeri'!E175</f>
        <v>0</v>
      </c>
      <c r="J168" s="125">
        <f>'Pemakaian Dalam Negeri'!F175</f>
        <v>0</v>
      </c>
      <c r="K168" s="124">
        <f>'Pemakaian Dalam Negeri'!G175</f>
        <v>0</v>
      </c>
      <c r="L168" s="124">
        <f>'Pemakaian Dalam Negeri'!H175</f>
        <v>1.0333000000000001</v>
      </c>
      <c r="M168" s="124">
        <f>'Pemakaian Dalam Negeri'!I175</f>
        <v>0</v>
      </c>
      <c r="N168" s="124">
        <f>'Pemakaian Dalam Negeri'!J175</f>
        <v>102.2967</v>
      </c>
      <c r="O168" s="124" t="e">
        <f t="shared" si="28"/>
        <v>#REF!</v>
      </c>
      <c r="P168" s="124" t="e">
        <f t="shared" si="29"/>
        <v>#REF!</v>
      </c>
      <c r="Q168" s="126" t="e">
        <f t="shared" si="22"/>
        <v>#REF!</v>
      </c>
      <c r="R168" s="126" t="e">
        <f t="shared" si="23"/>
        <v>#REF!</v>
      </c>
      <c r="S168" s="126" t="e">
        <f t="shared" si="24"/>
        <v>#REF!</v>
      </c>
      <c r="T168" s="126" t="e">
        <f t="shared" si="25"/>
        <v>#REF!</v>
      </c>
      <c r="U168" s="127" t="e">
        <f t="shared" si="26"/>
        <v>#REF!</v>
      </c>
      <c r="V168" s="181"/>
      <c r="W168" s="182"/>
      <c r="X168" s="179"/>
      <c r="Y168" s="179"/>
      <c r="Z168" s="179"/>
      <c r="AA168" s="183"/>
      <c r="AB168" s="136"/>
      <c r="AC168" s="184"/>
      <c r="AD168" s="163">
        <v>49</v>
      </c>
      <c r="AE168" s="163">
        <v>82</v>
      </c>
      <c r="AF168" s="163">
        <v>18</v>
      </c>
      <c r="AG168" s="163">
        <v>1</v>
      </c>
      <c r="AH168" s="163"/>
      <c r="AI168" s="163"/>
      <c r="AJ168" s="163"/>
      <c r="AK168" s="163"/>
      <c r="AL168" s="163"/>
      <c r="AM168" s="163"/>
      <c r="AN168" s="187"/>
      <c r="AO168" s="187"/>
    </row>
    <row r="169" spans="1:41" ht="14.1" customHeight="1" x14ac:dyDescent="0.2">
      <c r="A169" s="24"/>
      <c r="B169" s="20" t="s">
        <v>36</v>
      </c>
      <c r="C169" s="122">
        <f>Produksi!D174</f>
        <v>0</v>
      </c>
      <c r="D169" s="122">
        <f>Produksi!F174</f>
        <v>0</v>
      </c>
      <c r="E169" s="123" t="e">
        <f>#REF!</f>
        <v>#REF!</v>
      </c>
      <c r="F169" s="124" t="e">
        <f>#REF!+#REF!</f>
        <v>#REF!</v>
      </c>
      <c r="G169" s="124"/>
      <c r="H169" s="124" t="e">
        <f t="shared" si="30"/>
        <v>#REF!</v>
      </c>
      <c r="I169" s="124">
        <f>'Pemakaian Dalam Negeri'!E176</f>
        <v>0</v>
      </c>
      <c r="J169" s="125">
        <f>'Pemakaian Dalam Negeri'!F176</f>
        <v>0</v>
      </c>
      <c r="K169" s="124">
        <f>'Pemakaian Dalam Negeri'!G176</f>
        <v>0</v>
      </c>
      <c r="L169" s="124">
        <f>'Pemakaian Dalam Negeri'!H176</f>
        <v>0</v>
      </c>
      <c r="M169" s="124">
        <f>'Pemakaian Dalam Negeri'!I176</f>
        <v>0</v>
      </c>
      <c r="N169" s="124">
        <f>'Pemakaian Dalam Negeri'!J176</f>
        <v>0</v>
      </c>
      <c r="O169" s="124" t="e">
        <f t="shared" si="28"/>
        <v>#REF!</v>
      </c>
      <c r="P169" s="124" t="e">
        <f t="shared" si="29"/>
        <v>#REF!</v>
      </c>
      <c r="Q169" s="126" t="e">
        <f t="shared" si="22"/>
        <v>#REF!</v>
      </c>
      <c r="R169" s="126" t="e">
        <f t="shared" si="23"/>
        <v>#REF!</v>
      </c>
      <c r="S169" s="126" t="e">
        <f t="shared" si="24"/>
        <v>#REF!</v>
      </c>
      <c r="T169" s="126" t="e">
        <f t="shared" si="25"/>
        <v>#REF!</v>
      </c>
      <c r="U169" s="127" t="e">
        <f t="shared" si="26"/>
        <v>#REF!</v>
      </c>
      <c r="V169" s="135"/>
      <c r="W169" s="136"/>
      <c r="X169" s="137"/>
      <c r="Y169" s="137"/>
      <c r="Z169" s="137"/>
      <c r="AA169" s="41">
        <v>0</v>
      </c>
      <c r="AB169" s="136"/>
      <c r="AC169" s="141"/>
      <c r="AD169" s="163"/>
      <c r="AE169" s="163">
        <v>84</v>
      </c>
      <c r="AF169" s="163">
        <v>19.100000000000001</v>
      </c>
      <c r="AG169" s="163">
        <v>0.3</v>
      </c>
      <c r="AH169" s="163"/>
      <c r="AI169" s="163"/>
      <c r="AJ169" s="163"/>
      <c r="AK169" s="163"/>
      <c r="AL169" s="163"/>
      <c r="AM169" s="163"/>
      <c r="AN169" s="120"/>
      <c r="AO169" s="120"/>
    </row>
    <row r="170" spans="1:41" ht="14.1" customHeight="1" x14ac:dyDescent="0.2">
      <c r="A170" s="24"/>
      <c r="B170" s="20" t="s">
        <v>37</v>
      </c>
      <c r="C170" s="122">
        <f>Produksi!D175</f>
        <v>0</v>
      </c>
      <c r="D170" s="122">
        <f>Produksi!F175</f>
        <v>0</v>
      </c>
      <c r="E170" s="123" t="e">
        <f>#REF!</f>
        <v>#REF!</v>
      </c>
      <c r="F170" s="124" t="e">
        <f>#REF!+#REF!</f>
        <v>#REF!</v>
      </c>
      <c r="G170" s="124"/>
      <c r="H170" s="124" t="e">
        <f t="shared" si="30"/>
        <v>#REF!</v>
      </c>
      <c r="I170" s="124">
        <f>'Pemakaian Dalam Negeri'!E177</f>
        <v>0</v>
      </c>
      <c r="J170" s="125">
        <f>'Pemakaian Dalam Negeri'!F177</f>
        <v>0</v>
      </c>
      <c r="K170" s="124">
        <f>'Pemakaian Dalam Negeri'!G177</f>
        <v>0</v>
      </c>
      <c r="L170" s="124">
        <f>'Pemakaian Dalam Negeri'!H177</f>
        <v>0</v>
      </c>
      <c r="M170" s="124">
        <f>'Pemakaian Dalam Negeri'!I177</f>
        <v>0</v>
      </c>
      <c r="N170" s="124">
        <f>'Pemakaian Dalam Negeri'!J177</f>
        <v>0</v>
      </c>
      <c r="O170" s="124" t="e">
        <f t="shared" si="28"/>
        <v>#REF!</v>
      </c>
      <c r="P170" s="124" t="e">
        <f t="shared" si="29"/>
        <v>#REF!</v>
      </c>
      <c r="Q170" s="126" t="e">
        <f t="shared" si="22"/>
        <v>#REF!</v>
      </c>
      <c r="R170" s="126" t="e">
        <f t="shared" si="23"/>
        <v>#REF!</v>
      </c>
      <c r="S170" s="126" t="e">
        <f t="shared" si="24"/>
        <v>#REF!</v>
      </c>
      <c r="T170" s="126" t="e">
        <f t="shared" si="25"/>
        <v>#REF!</v>
      </c>
      <c r="U170" s="127" t="e">
        <f t="shared" si="26"/>
        <v>#REF!</v>
      </c>
      <c r="V170" s="128"/>
      <c r="W170" s="41">
        <v>100</v>
      </c>
      <c r="X170" s="41">
        <v>0</v>
      </c>
      <c r="Y170" s="41">
        <v>0</v>
      </c>
      <c r="Z170" s="41">
        <v>0</v>
      </c>
      <c r="AA170" s="151"/>
      <c r="AB170" s="136">
        <v>0</v>
      </c>
      <c r="AC170" s="130">
        <v>100</v>
      </c>
      <c r="AD170" s="163">
        <v>81.5</v>
      </c>
      <c r="AE170" s="163">
        <v>70</v>
      </c>
      <c r="AF170" s="163">
        <v>14.6</v>
      </c>
      <c r="AG170" s="163">
        <v>0.8</v>
      </c>
      <c r="AH170" s="163"/>
      <c r="AI170" s="163"/>
      <c r="AJ170" s="163"/>
      <c r="AK170" s="163"/>
      <c r="AL170" s="163"/>
      <c r="AM170" s="163"/>
      <c r="AN170" s="120"/>
      <c r="AO170" s="120"/>
    </row>
    <row r="171" spans="1:41" ht="14.1" customHeight="1" x14ac:dyDescent="0.2">
      <c r="A171" s="24"/>
      <c r="B171" s="20" t="s">
        <v>38</v>
      </c>
      <c r="C171" s="122">
        <f>Produksi!D176</f>
        <v>0</v>
      </c>
      <c r="D171" s="122">
        <f>Produksi!F176</f>
        <v>0</v>
      </c>
      <c r="E171" s="123" t="e">
        <f>#REF!</f>
        <v>#REF!</v>
      </c>
      <c r="F171" s="124" t="e">
        <f>#REF!+#REF!</f>
        <v>#REF!</v>
      </c>
      <c r="G171" s="124"/>
      <c r="H171" s="124" t="e">
        <f t="shared" si="30"/>
        <v>#REF!</v>
      </c>
      <c r="I171" s="124">
        <f>'Pemakaian Dalam Negeri'!E178</f>
        <v>0</v>
      </c>
      <c r="J171" s="125">
        <f>'Pemakaian Dalam Negeri'!F178</f>
        <v>0</v>
      </c>
      <c r="K171" s="124">
        <f>'Pemakaian Dalam Negeri'!G178</f>
        <v>0</v>
      </c>
      <c r="L171" s="124">
        <f>'Pemakaian Dalam Negeri'!H178</f>
        <v>0</v>
      </c>
      <c r="M171" s="124">
        <f>'Pemakaian Dalam Negeri'!I178</f>
        <v>0</v>
      </c>
      <c r="N171" s="124">
        <f>'Pemakaian Dalam Negeri'!J178</f>
        <v>0</v>
      </c>
      <c r="O171" s="124" t="e">
        <f t="shared" si="28"/>
        <v>#REF!</v>
      </c>
      <c r="P171" s="124" t="e">
        <f t="shared" si="29"/>
        <v>#REF!</v>
      </c>
      <c r="Q171" s="126" t="e">
        <f t="shared" si="22"/>
        <v>#REF!</v>
      </c>
      <c r="R171" s="126" t="e">
        <f t="shared" si="23"/>
        <v>#REF!</v>
      </c>
      <c r="S171" s="126" t="e">
        <f t="shared" si="24"/>
        <v>#REF!</v>
      </c>
      <c r="T171" s="126" t="e">
        <f t="shared" si="25"/>
        <v>#REF!</v>
      </c>
      <c r="U171" s="127" t="e">
        <f t="shared" si="26"/>
        <v>#REF!</v>
      </c>
      <c r="V171" s="128"/>
      <c r="W171" s="41">
        <v>100</v>
      </c>
      <c r="X171" s="41">
        <v>0</v>
      </c>
      <c r="Y171" s="41">
        <v>0</v>
      </c>
      <c r="Z171" s="41">
        <v>0</v>
      </c>
      <c r="AA171" s="41"/>
      <c r="AB171" s="136">
        <v>1.56</v>
      </c>
      <c r="AC171" s="149">
        <v>97.66</v>
      </c>
      <c r="AD171" s="163">
        <v>75</v>
      </c>
      <c r="AE171" s="163">
        <v>84</v>
      </c>
      <c r="AF171" s="163">
        <v>15.2</v>
      </c>
      <c r="AG171" s="163">
        <v>0.6</v>
      </c>
      <c r="AH171" s="163"/>
      <c r="AI171" s="163"/>
      <c r="AJ171" s="163"/>
      <c r="AK171" s="163"/>
      <c r="AL171" s="163"/>
      <c r="AM171" s="163"/>
      <c r="AN171" s="120"/>
      <c r="AO171" s="120"/>
    </row>
    <row r="172" spans="1:41" ht="14.1" customHeight="1" x14ac:dyDescent="0.2">
      <c r="A172" s="34"/>
      <c r="B172" s="4" t="s">
        <v>157</v>
      </c>
      <c r="C172" s="122">
        <f>Produksi!D177</f>
        <v>1800.55</v>
      </c>
      <c r="D172" s="122">
        <f>Produksi!F177</f>
        <v>1800.55</v>
      </c>
      <c r="E172" s="123" t="e">
        <f>#REF!</f>
        <v>#REF!</v>
      </c>
      <c r="F172" s="124" t="e">
        <f>#REF!+#REF!</f>
        <v>#REF!</v>
      </c>
      <c r="G172" s="124"/>
      <c r="H172" s="124" t="e">
        <f t="shared" si="30"/>
        <v>#REF!</v>
      </c>
      <c r="I172" s="124">
        <f>'Pemakaian Dalam Negeri'!E179</f>
        <v>0</v>
      </c>
      <c r="J172" s="125">
        <f>'Pemakaian Dalam Negeri'!F179</f>
        <v>0</v>
      </c>
      <c r="K172" s="124">
        <f>'Pemakaian Dalam Negeri'!G179</f>
        <v>0</v>
      </c>
      <c r="L172" s="124">
        <f>'Pemakaian Dalam Negeri'!H179</f>
        <v>0</v>
      </c>
      <c r="M172" s="124">
        <f>'Pemakaian Dalam Negeri'!I179</f>
        <v>0</v>
      </c>
      <c r="N172" s="124">
        <f>'Pemakaian Dalam Negeri'!J179</f>
        <v>0</v>
      </c>
      <c r="O172" s="124" t="e">
        <f t="shared" si="28"/>
        <v>#REF!</v>
      </c>
      <c r="P172" s="124" t="e">
        <f t="shared" si="29"/>
        <v>#REF!</v>
      </c>
      <c r="Q172" s="126" t="e">
        <f t="shared" si="22"/>
        <v>#REF!</v>
      </c>
      <c r="R172" s="126" t="e">
        <f t="shared" si="23"/>
        <v>#REF!</v>
      </c>
      <c r="S172" s="126" t="e">
        <f t="shared" si="24"/>
        <v>#REF!</v>
      </c>
      <c r="T172" s="126" t="e">
        <f t="shared" si="25"/>
        <v>#REF!</v>
      </c>
      <c r="U172" s="127" t="e">
        <f t="shared" si="26"/>
        <v>#REF!</v>
      </c>
      <c r="V172" s="135"/>
      <c r="W172" s="136">
        <v>100</v>
      </c>
      <c r="X172" s="136">
        <v>0</v>
      </c>
      <c r="Y172" s="136">
        <v>0</v>
      </c>
      <c r="Z172" s="136">
        <f>'[1] Industri Pangan '!E183</f>
        <v>0</v>
      </c>
      <c r="AA172" s="136"/>
      <c r="AB172" s="188">
        <v>2.61</v>
      </c>
      <c r="AC172" s="139"/>
      <c r="AD172" s="119">
        <v>75</v>
      </c>
      <c r="AE172" s="131">
        <v>55.22</v>
      </c>
      <c r="AF172" s="131">
        <v>10.86</v>
      </c>
      <c r="AG172" s="131">
        <v>0.83</v>
      </c>
      <c r="AH172" s="120"/>
      <c r="AI172" s="120"/>
      <c r="AJ172" s="120"/>
      <c r="AK172" s="120"/>
      <c r="AL172" s="120"/>
      <c r="AM172" s="120"/>
      <c r="AN172" s="120"/>
      <c r="AO172" s="120"/>
    </row>
    <row r="173" spans="1:41" ht="14.1" customHeight="1" x14ac:dyDescent="0.2">
      <c r="A173" s="35"/>
      <c r="B173" s="4"/>
      <c r="C173" s="122">
        <f>Produksi!D178</f>
        <v>0</v>
      </c>
      <c r="D173" s="122">
        <f>Produksi!F178</f>
        <v>0</v>
      </c>
      <c r="E173" s="123" t="e">
        <f>#REF!</f>
        <v>#REF!</v>
      </c>
      <c r="F173" s="124" t="e">
        <f>#REF!+#REF!</f>
        <v>#REF!</v>
      </c>
      <c r="G173" s="124"/>
      <c r="H173" s="124" t="e">
        <f t="shared" si="30"/>
        <v>#REF!</v>
      </c>
      <c r="I173" s="124"/>
      <c r="J173" s="125"/>
      <c r="K173" s="124"/>
      <c r="L173" s="124"/>
      <c r="M173" s="124"/>
      <c r="N173" s="124"/>
      <c r="O173" s="124" t="e">
        <f t="shared" si="28"/>
        <v>#REF!</v>
      </c>
      <c r="P173" s="124" t="e">
        <f t="shared" si="29"/>
        <v>#REF!</v>
      </c>
      <c r="Q173" s="126"/>
      <c r="R173" s="126"/>
      <c r="S173" s="126"/>
      <c r="T173" s="126"/>
      <c r="U173" s="127"/>
      <c r="V173" s="128"/>
      <c r="W173" s="41">
        <v>100</v>
      </c>
      <c r="X173" s="41">
        <v>0</v>
      </c>
      <c r="Y173" s="41">
        <v>0</v>
      </c>
      <c r="Z173" s="41">
        <v>0</v>
      </c>
      <c r="AA173" s="136">
        <v>0</v>
      </c>
      <c r="AB173" s="136">
        <v>1.55</v>
      </c>
      <c r="AC173" s="149"/>
      <c r="AD173" s="119"/>
      <c r="AE173" s="131"/>
      <c r="AF173" s="131"/>
      <c r="AG173" s="131"/>
      <c r="AH173" s="120"/>
      <c r="AI173" s="120"/>
      <c r="AJ173" s="120"/>
      <c r="AK173" s="120"/>
      <c r="AL173" s="120"/>
      <c r="AM173" s="120"/>
      <c r="AN173" s="120"/>
      <c r="AO173" s="120"/>
    </row>
    <row r="174" spans="1:41" ht="14.1" customHeight="1" thickBot="1" x14ac:dyDescent="0.25">
      <c r="A174" s="7" t="s">
        <v>39</v>
      </c>
      <c r="B174" s="4"/>
      <c r="C174" s="122">
        <f>Produksi!D179</f>
        <v>0</v>
      </c>
      <c r="D174" s="122">
        <f>Produksi!F179</f>
        <v>0</v>
      </c>
      <c r="E174" s="123" t="e">
        <f>#REF!</f>
        <v>#REF!</v>
      </c>
      <c r="F174" s="124" t="e">
        <f>#REF!+#REF!</f>
        <v>#REF!</v>
      </c>
      <c r="G174" s="124"/>
      <c r="H174" s="124" t="e">
        <f t="shared" si="30"/>
        <v>#REF!</v>
      </c>
      <c r="I174" s="124">
        <f>'Pemakaian Dalam Negeri'!E181</f>
        <v>0</v>
      </c>
      <c r="J174" s="125">
        <f>'Pemakaian Dalam Negeri'!F181</f>
        <v>0</v>
      </c>
      <c r="K174" s="124">
        <f>'Pemakaian Dalam Negeri'!G181</f>
        <v>0</v>
      </c>
      <c r="L174" s="124">
        <f>'Pemakaian Dalam Negeri'!H181</f>
        <v>10.590370825275309</v>
      </c>
      <c r="M174" s="124">
        <f>'Pemakaian Dalam Negeri'!I181</f>
        <v>0</v>
      </c>
      <c r="N174" s="124">
        <f>'Pemakaian Dalam Negeri'!J181</f>
        <v>2107.4837942297863</v>
      </c>
      <c r="O174" s="124" t="e">
        <f t="shared" si="28"/>
        <v>#REF!</v>
      </c>
      <c r="P174" s="124" t="e">
        <f t="shared" si="29"/>
        <v>#REF!</v>
      </c>
      <c r="Q174" s="126"/>
      <c r="R174" s="126"/>
      <c r="S174" s="143" t="e">
        <f>SUM(S175:S188)</f>
        <v>#REF!</v>
      </c>
      <c r="T174" s="143" t="e">
        <f>SUM(T175:T188)</f>
        <v>#REF!</v>
      </c>
      <c r="U174" s="143" t="e">
        <f>SUM(U175:U188)</f>
        <v>#REF!</v>
      </c>
      <c r="V174" s="128"/>
      <c r="W174" s="41"/>
      <c r="X174" s="41"/>
      <c r="Y174" s="41"/>
      <c r="Z174" s="41"/>
      <c r="AA174" s="136"/>
      <c r="AB174" s="136"/>
      <c r="AC174" s="149"/>
      <c r="AD174" s="185"/>
      <c r="AE174" s="186"/>
      <c r="AF174" s="186"/>
      <c r="AG174" s="186"/>
      <c r="AH174" s="187"/>
      <c r="AI174" s="187"/>
      <c r="AJ174" s="187"/>
      <c r="AK174" s="187"/>
      <c r="AL174" s="187"/>
      <c r="AM174" s="187"/>
      <c r="AN174" s="120"/>
      <c r="AO174" s="120"/>
    </row>
    <row r="175" spans="1:41" ht="14.1" customHeight="1" x14ac:dyDescent="0.2">
      <c r="A175" s="6"/>
      <c r="B175" s="19" t="s">
        <v>40</v>
      </c>
      <c r="C175" s="122">
        <f>Produksi!D180</f>
        <v>0</v>
      </c>
      <c r="D175" s="122">
        <f>Produksi!F180</f>
        <v>0</v>
      </c>
      <c r="E175" s="123" t="e">
        <f>#REF!</f>
        <v>#REF!</v>
      </c>
      <c r="F175" s="124" t="e">
        <f>#REF!+#REF!</f>
        <v>#REF!</v>
      </c>
      <c r="G175" s="124"/>
      <c r="H175" s="124" t="e">
        <f t="shared" si="30"/>
        <v>#REF!</v>
      </c>
      <c r="I175" s="124">
        <f>'Pemakaian Dalam Negeri'!E182</f>
        <v>0</v>
      </c>
      <c r="J175" s="125">
        <f>'Pemakaian Dalam Negeri'!F182</f>
        <v>0</v>
      </c>
      <c r="K175" s="124">
        <f>'Pemakaian Dalam Negeri'!G182</f>
        <v>0</v>
      </c>
      <c r="L175" s="124">
        <f>'Pemakaian Dalam Negeri'!H182</f>
        <v>0</v>
      </c>
      <c r="M175" s="124">
        <f>'Pemakaian Dalam Negeri'!I182</f>
        <v>0</v>
      </c>
      <c r="N175" s="124">
        <f>'Pemakaian Dalam Negeri'!J182</f>
        <v>0</v>
      </c>
      <c r="O175" s="124" t="e">
        <f t="shared" si="28"/>
        <v>#REF!</v>
      </c>
      <c r="P175" s="124" t="e">
        <f t="shared" si="29"/>
        <v>#REF!</v>
      </c>
      <c r="Q175" s="126" t="e">
        <f t="shared" si="22"/>
        <v>#REF!</v>
      </c>
      <c r="R175" s="126" t="e">
        <f t="shared" si="23"/>
        <v>#REF!</v>
      </c>
      <c r="S175" s="126" t="e">
        <f t="shared" si="24"/>
        <v>#REF!</v>
      </c>
      <c r="T175" s="126" t="e">
        <f t="shared" si="25"/>
        <v>#REF!</v>
      </c>
      <c r="U175" s="127" t="e">
        <f t="shared" si="26"/>
        <v>#REF!</v>
      </c>
      <c r="V175" s="128"/>
      <c r="W175" s="41"/>
      <c r="X175" s="41"/>
      <c r="Y175" s="41"/>
      <c r="Z175" s="41"/>
      <c r="AA175" s="136"/>
      <c r="AB175" s="136"/>
      <c r="AC175" s="149"/>
      <c r="AD175" s="119"/>
      <c r="AE175" s="131"/>
      <c r="AF175" s="131"/>
      <c r="AG175" s="131"/>
      <c r="AH175" s="120"/>
      <c r="AI175" s="120"/>
      <c r="AJ175" s="120"/>
      <c r="AK175" s="120"/>
      <c r="AL175" s="120"/>
      <c r="AM175" s="120"/>
      <c r="AN175" s="120"/>
      <c r="AO175" s="120"/>
    </row>
    <row r="176" spans="1:41" ht="14.1" customHeight="1" x14ac:dyDescent="0.2">
      <c r="A176" s="23"/>
      <c r="B176" s="3" t="s">
        <v>158</v>
      </c>
      <c r="C176" s="122">
        <f>Produksi!D181</f>
        <v>0</v>
      </c>
      <c r="D176" s="122">
        <f>Produksi!F181</f>
        <v>0</v>
      </c>
      <c r="E176" s="123" t="e">
        <f>#REF!</f>
        <v>#REF!</v>
      </c>
      <c r="F176" s="124" t="e">
        <f>#REF!+#REF!</f>
        <v>#REF!</v>
      </c>
      <c r="G176" s="124"/>
      <c r="H176" s="124" t="e">
        <f t="shared" si="30"/>
        <v>#REF!</v>
      </c>
      <c r="I176" s="124">
        <f>'Pemakaian Dalam Negeri'!E183</f>
        <v>0</v>
      </c>
      <c r="J176" s="125">
        <f>'Pemakaian Dalam Negeri'!F183</f>
        <v>0</v>
      </c>
      <c r="K176" s="124">
        <f>'Pemakaian Dalam Negeri'!G183</f>
        <v>0</v>
      </c>
      <c r="L176" s="124">
        <f>'Pemakaian Dalam Negeri'!H183</f>
        <v>0</v>
      </c>
      <c r="M176" s="124">
        <f>'Pemakaian Dalam Negeri'!I183</f>
        <v>0</v>
      </c>
      <c r="N176" s="124">
        <f>'Pemakaian Dalam Negeri'!J183</f>
        <v>0</v>
      </c>
      <c r="O176" s="124" t="e">
        <f t="shared" si="28"/>
        <v>#REF!</v>
      </c>
      <c r="P176" s="124" t="e">
        <f t="shared" si="29"/>
        <v>#REF!</v>
      </c>
      <c r="Q176" s="126" t="e">
        <f t="shared" si="22"/>
        <v>#REF!</v>
      </c>
      <c r="R176" s="126" t="e">
        <f t="shared" si="23"/>
        <v>#REF!</v>
      </c>
      <c r="S176" s="126" t="e">
        <f t="shared" si="24"/>
        <v>#REF!</v>
      </c>
      <c r="T176" s="126" t="e">
        <f t="shared" si="25"/>
        <v>#REF!</v>
      </c>
      <c r="U176" s="127" t="e">
        <f t="shared" si="26"/>
        <v>#REF!</v>
      </c>
      <c r="V176" s="128"/>
      <c r="W176" s="41"/>
      <c r="X176" s="41"/>
      <c r="Y176" s="41"/>
      <c r="Z176" s="41"/>
      <c r="AA176" s="136"/>
      <c r="AB176" s="136"/>
      <c r="AC176" s="149"/>
      <c r="AD176" s="119">
        <v>100</v>
      </c>
      <c r="AE176" s="131">
        <v>902</v>
      </c>
      <c r="AF176" s="131">
        <v>0</v>
      </c>
      <c r="AG176" s="131">
        <v>100</v>
      </c>
      <c r="AH176" s="120">
        <v>0</v>
      </c>
      <c r="AI176" s="120">
        <v>0</v>
      </c>
      <c r="AJ176" s="120">
        <v>0</v>
      </c>
      <c r="AK176" s="120">
        <v>0</v>
      </c>
      <c r="AL176" s="120">
        <v>0</v>
      </c>
      <c r="AM176" s="120">
        <v>0</v>
      </c>
      <c r="AN176" s="120"/>
      <c r="AO176" s="120"/>
    </row>
    <row r="177" spans="1:41" ht="14.1" customHeight="1" x14ac:dyDescent="0.2">
      <c r="A177" s="23"/>
      <c r="B177" s="3" t="s">
        <v>159</v>
      </c>
      <c r="C177" s="122">
        <f>Produksi!D182</f>
        <v>0</v>
      </c>
      <c r="D177" s="122">
        <f>Produksi!F182</f>
        <v>0</v>
      </c>
      <c r="E177" s="123" t="e">
        <f>#REF!</f>
        <v>#REF!</v>
      </c>
      <c r="F177" s="124" t="e">
        <f>#REF!+#REF!</f>
        <v>#REF!</v>
      </c>
      <c r="G177" s="124"/>
      <c r="H177" s="124" t="e">
        <f t="shared" si="30"/>
        <v>#REF!</v>
      </c>
      <c r="I177" s="124">
        <f>'Pemakaian Dalam Negeri'!E184</f>
        <v>0</v>
      </c>
      <c r="J177" s="125">
        <f>'Pemakaian Dalam Negeri'!F184</f>
        <v>0</v>
      </c>
      <c r="K177" s="124">
        <f>'Pemakaian Dalam Negeri'!G184</f>
        <v>0</v>
      </c>
      <c r="L177" s="124">
        <f>'Pemakaian Dalam Negeri'!H184</f>
        <v>0</v>
      </c>
      <c r="M177" s="124">
        <f>'Pemakaian Dalam Negeri'!I184</f>
        <v>0</v>
      </c>
      <c r="N177" s="124">
        <f>'Pemakaian Dalam Negeri'!J184</f>
        <v>0</v>
      </c>
      <c r="O177" s="124" t="e">
        <f t="shared" si="28"/>
        <v>#REF!</v>
      </c>
      <c r="P177" s="124" t="e">
        <f t="shared" si="29"/>
        <v>#REF!</v>
      </c>
      <c r="Q177" s="126" t="e">
        <f t="shared" si="22"/>
        <v>#REF!</v>
      </c>
      <c r="R177" s="126" t="e">
        <f t="shared" si="23"/>
        <v>#REF!</v>
      </c>
      <c r="S177" s="126" t="e">
        <f t="shared" si="24"/>
        <v>#REF!</v>
      </c>
      <c r="T177" s="126" t="e">
        <f t="shared" si="25"/>
        <v>#REF!</v>
      </c>
      <c r="U177" s="127" t="e">
        <f t="shared" si="26"/>
        <v>#REF!</v>
      </c>
      <c r="V177" s="128"/>
      <c r="W177" s="41"/>
      <c r="X177" s="41"/>
      <c r="Y177" s="41"/>
      <c r="Z177" s="41"/>
      <c r="AA177" s="136"/>
      <c r="AB177" s="136"/>
      <c r="AC177" s="149"/>
      <c r="AD177" s="119">
        <v>100</v>
      </c>
      <c r="AE177" s="131">
        <v>870</v>
      </c>
      <c r="AF177" s="131">
        <v>1</v>
      </c>
      <c r="AG177" s="131">
        <v>98</v>
      </c>
      <c r="AH177" s="120">
        <v>0</v>
      </c>
      <c r="AI177" s="120">
        <v>0</v>
      </c>
      <c r="AJ177" s="120">
        <v>0</v>
      </c>
      <c r="AK177" s="120">
        <v>3</v>
      </c>
      <c r="AL177" s="120">
        <v>0</v>
      </c>
      <c r="AM177" s="120">
        <v>0</v>
      </c>
      <c r="AN177" s="120"/>
      <c r="AO177" s="120"/>
    </row>
    <row r="178" spans="1:41" ht="14.1" customHeight="1" x14ac:dyDescent="0.2">
      <c r="A178" s="23"/>
      <c r="B178" s="3" t="s">
        <v>160</v>
      </c>
      <c r="C178" s="122">
        <f>Produksi!D183</f>
        <v>0</v>
      </c>
      <c r="D178" s="122">
        <f>Produksi!F183</f>
        <v>0</v>
      </c>
      <c r="E178" s="123" t="e">
        <f>#REF!</f>
        <v>#REF!</v>
      </c>
      <c r="F178" s="124" t="e">
        <f>#REF!+#REF!</f>
        <v>#REF!</v>
      </c>
      <c r="G178" s="124"/>
      <c r="H178" s="124" t="e">
        <f t="shared" si="30"/>
        <v>#REF!</v>
      </c>
      <c r="I178" s="124">
        <f>'Pemakaian Dalam Negeri'!E185</f>
        <v>0</v>
      </c>
      <c r="J178" s="125">
        <f>'Pemakaian Dalam Negeri'!F185</f>
        <v>0</v>
      </c>
      <c r="K178" s="124">
        <f>'Pemakaian Dalam Negeri'!G185</f>
        <v>0</v>
      </c>
      <c r="L178" s="124">
        <f>'Pemakaian Dalam Negeri'!H185</f>
        <v>0</v>
      </c>
      <c r="M178" s="124">
        <f>'Pemakaian Dalam Negeri'!I185</f>
        <v>0</v>
      </c>
      <c r="N178" s="124">
        <f>'Pemakaian Dalam Negeri'!J185</f>
        <v>0</v>
      </c>
      <c r="O178" s="124" t="e">
        <f t="shared" si="28"/>
        <v>#REF!</v>
      </c>
      <c r="P178" s="124" t="e">
        <f t="shared" si="29"/>
        <v>#REF!</v>
      </c>
      <c r="Q178" s="126" t="e">
        <f t="shared" si="22"/>
        <v>#REF!</v>
      </c>
      <c r="R178" s="126" t="e">
        <f t="shared" si="23"/>
        <v>#REF!</v>
      </c>
      <c r="S178" s="126" t="e">
        <f t="shared" si="24"/>
        <v>#REF!</v>
      </c>
      <c r="T178" s="126" t="e">
        <f t="shared" si="25"/>
        <v>#REF!</v>
      </c>
      <c r="U178" s="127" t="e">
        <f t="shared" si="26"/>
        <v>#REF!</v>
      </c>
      <c r="V178" s="135"/>
      <c r="W178" s="136"/>
      <c r="X178" s="136"/>
      <c r="Y178" s="136"/>
      <c r="Z178" s="136"/>
      <c r="AA178" s="136">
        <v>0</v>
      </c>
      <c r="AB178" s="190"/>
      <c r="AC178" s="139"/>
      <c r="AD178" s="119">
        <v>100</v>
      </c>
      <c r="AE178" s="131">
        <v>902</v>
      </c>
      <c r="AF178" s="131">
        <v>0</v>
      </c>
      <c r="AG178" s="131">
        <v>46.5</v>
      </c>
      <c r="AH178" s="120">
        <v>60000</v>
      </c>
      <c r="AI178" s="120">
        <v>0</v>
      </c>
      <c r="AJ178" s="120">
        <v>0</v>
      </c>
      <c r="AK178" s="120">
        <v>0</v>
      </c>
      <c r="AL178" s="120">
        <v>0</v>
      </c>
      <c r="AM178" s="120">
        <v>0</v>
      </c>
      <c r="AN178" s="120"/>
      <c r="AO178" s="120"/>
    </row>
    <row r="179" spans="1:41" ht="14.1" customHeight="1" x14ac:dyDescent="0.2">
      <c r="A179" s="23"/>
      <c r="B179" s="20" t="s">
        <v>41</v>
      </c>
      <c r="C179" s="122">
        <f>Produksi!D184</f>
        <v>0</v>
      </c>
      <c r="D179" s="122">
        <f>Produksi!F184</f>
        <v>0</v>
      </c>
      <c r="E179" s="123" t="e">
        <f>#REF!</f>
        <v>#REF!</v>
      </c>
      <c r="F179" s="124" t="e">
        <f>#REF!+#REF!</f>
        <v>#REF!</v>
      </c>
      <c r="G179" s="124"/>
      <c r="H179" s="124" t="e">
        <f t="shared" si="30"/>
        <v>#REF!</v>
      </c>
      <c r="I179" s="124">
        <f>'Pemakaian Dalam Negeri'!E186</f>
        <v>0</v>
      </c>
      <c r="J179" s="125">
        <f>'Pemakaian Dalam Negeri'!F186</f>
        <v>0</v>
      </c>
      <c r="K179" s="124">
        <f>'Pemakaian Dalam Negeri'!G186</f>
        <v>0</v>
      </c>
      <c r="L179" s="124">
        <f>'Pemakaian Dalam Negeri'!H186</f>
        <v>0</v>
      </c>
      <c r="M179" s="124">
        <f>'Pemakaian Dalam Negeri'!I186</f>
        <v>0</v>
      </c>
      <c r="N179" s="124">
        <f>'Pemakaian Dalam Negeri'!J186</f>
        <v>0</v>
      </c>
      <c r="O179" s="124" t="e">
        <f t="shared" si="28"/>
        <v>#REF!</v>
      </c>
      <c r="P179" s="124" t="e">
        <f t="shared" si="29"/>
        <v>#REF!</v>
      </c>
      <c r="Q179" s="126" t="e">
        <f t="shared" si="22"/>
        <v>#REF!</v>
      </c>
      <c r="R179" s="126" t="e">
        <f t="shared" si="23"/>
        <v>#REF!</v>
      </c>
      <c r="S179" s="126" t="e">
        <f t="shared" si="24"/>
        <v>#REF!</v>
      </c>
      <c r="T179" s="126" t="e">
        <f t="shared" si="25"/>
        <v>#REF!</v>
      </c>
      <c r="U179" s="127" t="e">
        <f t="shared" si="26"/>
        <v>#REF!</v>
      </c>
      <c r="V179" s="135"/>
      <c r="W179" s="136"/>
      <c r="X179" s="136"/>
      <c r="Y179" s="136"/>
      <c r="Z179" s="136"/>
      <c r="AA179" s="136"/>
      <c r="AC179" s="139"/>
      <c r="AD179" s="119">
        <v>100</v>
      </c>
      <c r="AE179" s="131">
        <v>883</v>
      </c>
      <c r="AF179" s="131">
        <v>0</v>
      </c>
      <c r="AG179" s="131">
        <v>99.9</v>
      </c>
      <c r="AH179" s="120"/>
      <c r="AI179" s="120"/>
      <c r="AJ179" s="120"/>
      <c r="AK179" s="120"/>
      <c r="AL179" s="120"/>
      <c r="AM179" s="120"/>
      <c r="AN179" s="120"/>
      <c r="AO179" s="120"/>
    </row>
    <row r="180" spans="1:41" ht="14.1" customHeight="1" x14ac:dyDescent="0.2">
      <c r="A180" s="23"/>
      <c r="B180" s="20" t="s">
        <v>42</v>
      </c>
      <c r="C180" s="122">
        <f>Produksi!D185</f>
        <v>0</v>
      </c>
      <c r="D180" s="122">
        <f>Produksi!F185</f>
        <v>0</v>
      </c>
      <c r="E180" s="123" t="e">
        <f>#REF!</f>
        <v>#REF!</v>
      </c>
      <c r="F180" s="124" t="e">
        <f>#REF!+#REF!</f>
        <v>#REF!</v>
      </c>
      <c r="G180" s="124"/>
      <c r="H180" s="124" t="e">
        <f t="shared" si="30"/>
        <v>#REF!</v>
      </c>
      <c r="I180" s="124">
        <f>'Pemakaian Dalam Negeri'!E187</f>
        <v>0</v>
      </c>
      <c r="J180" s="125">
        <f>'Pemakaian Dalam Negeri'!F187</f>
        <v>0</v>
      </c>
      <c r="K180" s="124">
        <f>'Pemakaian Dalam Negeri'!G187</f>
        <v>0</v>
      </c>
      <c r="L180" s="124">
        <f>'Pemakaian Dalam Negeri'!H187</f>
        <v>90.83</v>
      </c>
      <c r="M180" s="124">
        <f>'Pemakaian Dalam Negeri'!I187</f>
        <v>0</v>
      </c>
      <c r="N180" s="124">
        <f>'Pemakaian Dalam Negeri'!J187</f>
        <v>5769.17</v>
      </c>
      <c r="O180" s="124" t="e">
        <f t="shared" si="28"/>
        <v>#REF!</v>
      </c>
      <c r="P180" s="124" t="e">
        <f t="shared" si="29"/>
        <v>#REF!</v>
      </c>
      <c r="Q180" s="126" t="e">
        <f t="shared" si="22"/>
        <v>#REF!</v>
      </c>
      <c r="R180" s="126" t="e">
        <f t="shared" si="23"/>
        <v>#REF!</v>
      </c>
      <c r="S180" s="126" t="e">
        <f t="shared" si="24"/>
        <v>#REF!</v>
      </c>
      <c r="T180" s="126" t="e">
        <f t="shared" si="25"/>
        <v>#REF!</v>
      </c>
      <c r="U180" s="127" t="e">
        <f t="shared" si="26"/>
        <v>#REF!</v>
      </c>
      <c r="V180" s="196"/>
      <c r="W180" s="136"/>
      <c r="X180" s="136"/>
      <c r="Y180" s="136"/>
      <c r="Z180" s="136"/>
      <c r="AA180" s="190"/>
      <c r="AC180" s="191"/>
      <c r="AD180" s="119">
        <v>100</v>
      </c>
      <c r="AE180" s="131">
        <v>884</v>
      </c>
      <c r="AF180" s="131">
        <v>0</v>
      </c>
      <c r="AG180" s="131">
        <v>100</v>
      </c>
      <c r="AH180" s="120"/>
      <c r="AI180" s="120"/>
      <c r="AJ180" s="120"/>
      <c r="AK180" s="120"/>
      <c r="AL180" s="120"/>
      <c r="AM180" s="120"/>
      <c r="AN180" s="120"/>
      <c r="AO180" s="120"/>
    </row>
    <row r="181" spans="1:41" ht="14.1" customHeight="1" x14ac:dyDescent="0.2">
      <c r="A181" s="23"/>
      <c r="B181" s="20" t="s">
        <v>43</v>
      </c>
      <c r="C181" s="122">
        <f>Produksi!D186</f>
        <v>0</v>
      </c>
      <c r="D181" s="122">
        <f>Produksi!F186</f>
        <v>0</v>
      </c>
      <c r="E181" s="123" t="e">
        <f>#REF!</f>
        <v>#REF!</v>
      </c>
      <c r="F181" s="124" t="e">
        <f>#REF!+#REF!</f>
        <v>#REF!</v>
      </c>
      <c r="G181" s="124"/>
      <c r="H181" s="124" t="e">
        <f t="shared" si="30"/>
        <v>#REF!</v>
      </c>
      <c r="I181" s="124">
        <f>'Pemakaian Dalam Negeri'!E188</f>
        <v>0</v>
      </c>
      <c r="J181" s="125">
        <f>'Pemakaian Dalam Negeri'!F188</f>
        <v>0</v>
      </c>
      <c r="K181" s="124">
        <f>'Pemakaian Dalam Negeri'!G188</f>
        <v>0</v>
      </c>
      <c r="L181" s="124">
        <f>'Pemakaian Dalam Negeri'!H188</f>
        <v>0</v>
      </c>
      <c r="M181" s="124">
        <f>'Pemakaian Dalam Negeri'!I188</f>
        <v>0</v>
      </c>
      <c r="N181" s="124">
        <f>'Pemakaian Dalam Negeri'!J188</f>
        <v>0</v>
      </c>
      <c r="O181" s="124" t="e">
        <f t="shared" si="28"/>
        <v>#REF!</v>
      </c>
      <c r="P181" s="124" t="e">
        <f t="shared" si="29"/>
        <v>#REF!</v>
      </c>
      <c r="Q181" s="126" t="e">
        <f t="shared" si="22"/>
        <v>#REF!</v>
      </c>
      <c r="R181" s="126" t="e">
        <f t="shared" si="23"/>
        <v>#REF!</v>
      </c>
      <c r="S181" s="126" t="e">
        <f t="shared" si="24"/>
        <v>#REF!</v>
      </c>
      <c r="T181" s="126" t="e">
        <f t="shared" si="25"/>
        <v>#REF!</v>
      </c>
      <c r="U181" s="127" t="e">
        <f t="shared" si="26"/>
        <v>#REF!</v>
      </c>
      <c r="V181" s="196"/>
      <c r="W181" s="136"/>
      <c r="X181" s="136"/>
      <c r="Y181" s="136"/>
      <c r="Z181" s="136"/>
      <c r="AC181" s="191"/>
      <c r="AD181" s="119">
        <v>100</v>
      </c>
      <c r="AE181" s="131">
        <v>881</v>
      </c>
      <c r="AF181" s="131">
        <v>0.2</v>
      </c>
      <c r="AG181" s="131">
        <v>99.7</v>
      </c>
      <c r="AH181" s="120"/>
      <c r="AI181" s="120"/>
      <c r="AJ181" s="120"/>
      <c r="AK181" s="120"/>
      <c r="AL181" s="120"/>
      <c r="AM181" s="120"/>
      <c r="AN181" s="120"/>
      <c r="AO181" s="120"/>
    </row>
    <row r="182" spans="1:41" ht="14.1" customHeight="1" x14ac:dyDescent="0.2">
      <c r="A182" s="23"/>
      <c r="B182" s="20" t="s">
        <v>44</v>
      </c>
      <c r="C182" s="122">
        <f>Produksi!D187</f>
        <v>0</v>
      </c>
      <c r="D182" s="122">
        <f>Produksi!F187</f>
        <v>0</v>
      </c>
      <c r="E182" s="123" t="e">
        <f>#REF!</f>
        <v>#REF!</v>
      </c>
      <c r="F182" s="124" t="e">
        <f>#REF!+#REF!</f>
        <v>#REF!</v>
      </c>
      <c r="G182" s="124"/>
      <c r="H182" s="124" t="e">
        <f t="shared" si="30"/>
        <v>#REF!</v>
      </c>
      <c r="I182" s="124">
        <f>'Pemakaian Dalam Negeri'!E189</f>
        <v>0</v>
      </c>
      <c r="J182" s="125">
        <f>'Pemakaian Dalam Negeri'!F189</f>
        <v>0</v>
      </c>
      <c r="K182" s="124">
        <f>'Pemakaian Dalam Negeri'!G189</f>
        <v>0</v>
      </c>
      <c r="L182" s="124">
        <f>'Pemakaian Dalam Negeri'!H189</f>
        <v>0</v>
      </c>
      <c r="M182" s="124">
        <f>'Pemakaian Dalam Negeri'!I189</f>
        <v>0</v>
      </c>
      <c r="N182" s="124">
        <f>'Pemakaian Dalam Negeri'!J189</f>
        <v>0</v>
      </c>
      <c r="O182" s="124" t="e">
        <f t="shared" si="28"/>
        <v>#REF!</v>
      </c>
      <c r="P182" s="124" t="e">
        <f t="shared" si="29"/>
        <v>#REF!</v>
      </c>
      <c r="Q182" s="126" t="e">
        <f t="shared" si="22"/>
        <v>#REF!</v>
      </c>
      <c r="R182" s="126" t="e">
        <f t="shared" si="23"/>
        <v>#REF!</v>
      </c>
      <c r="S182" s="126" t="e">
        <f t="shared" si="24"/>
        <v>#REF!</v>
      </c>
      <c r="T182" s="126" t="e">
        <f t="shared" si="25"/>
        <v>#REF!</v>
      </c>
      <c r="U182" s="127" t="e">
        <f t="shared" si="26"/>
        <v>#REF!</v>
      </c>
      <c r="V182" s="196"/>
      <c r="W182" s="136"/>
      <c r="X182" s="136"/>
      <c r="Y182" s="136"/>
      <c r="Z182" s="136"/>
      <c r="AC182" s="191"/>
      <c r="AD182" s="119"/>
      <c r="AE182" s="131"/>
      <c r="AF182" s="131"/>
      <c r="AG182" s="131"/>
      <c r="AH182" s="120"/>
      <c r="AI182" s="120"/>
      <c r="AJ182" s="120"/>
      <c r="AK182" s="120"/>
      <c r="AL182" s="120"/>
      <c r="AM182" s="120"/>
      <c r="AN182" s="120"/>
      <c r="AO182" s="120"/>
    </row>
    <row r="183" spans="1:41" ht="14.1" customHeight="1" x14ac:dyDescent="0.2">
      <c r="A183" s="23"/>
      <c r="B183" s="21"/>
      <c r="C183" s="122">
        <f>Produksi!D188</f>
        <v>0</v>
      </c>
      <c r="D183" s="122">
        <f>Produksi!F188</f>
        <v>0</v>
      </c>
      <c r="E183" s="123" t="e">
        <f>#REF!</f>
        <v>#REF!</v>
      </c>
      <c r="F183" s="124" t="e">
        <f>#REF!+#REF!</f>
        <v>#REF!</v>
      </c>
      <c r="G183" s="124"/>
      <c r="H183" s="124" t="e">
        <f t="shared" si="30"/>
        <v>#REF!</v>
      </c>
      <c r="I183" s="124">
        <f>'Pemakaian Dalam Negeri'!E190</f>
        <v>0</v>
      </c>
      <c r="J183" s="125">
        <f>'Pemakaian Dalam Negeri'!F190</f>
        <v>0</v>
      </c>
      <c r="K183" s="124">
        <f>'Pemakaian Dalam Negeri'!G190</f>
        <v>0</v>
      </c>
      <c r="L183" s="124">
        <f>'Pemakaian Dalam Negeri'!H190</f>
        <v>0</v>
      </c>
      <c r="M183" s="124">
        <f>'Pemakaian Dalam Negeri'!I190</f>
        <v>0</v>
      </c>
      <c r="N183" s="124">
        <f>'Pemakaian Dalam Negeri'!J190</f>
        <v>0</v>
      </c>
      <c r="O183" s="124" t="e">
        <f t="shared" si="28"/>
        <v>#REF!</v>
      </c>
      <c r="P183" s="124" t="e">
        <f t="shared" si="29"/>
        <v>#REF!</v>
      </c>
      <c r="Q183" s="126"/>
      <c r="R183" s="126"/>
      <c r="S183" s="126"/>
      <c r="T183" s="126"/>
      <c r="U183" s="127"/>
      <c r="V183" s="196"/>
      <c r="W183" s="190"/>
      <c r="X183" s="190"/>
      <c r="Y183" s="190"/>
      <c r="Z183" s="190"/>
      <c r="AC183" s="202"/>
      <c r="AD183" s="119"/>
      <c r="AE183" s="131"/>
      <c r="AF183" s="131"/>
      <c r="AG183" s="131"/>
      <c r="AH183" s="120"/>
      <c r="AI183" s="120"/>
      <c r="AJ183" s="120"/>
      <c r="AK183" s="120"/>
      <c r="AL183" s="120"/>
      <c r="AM183" s="120"/>
      <c r="AN183" s="120"/>
      <c r="AO183" s="120"/>
    </row>
    <row r="184" spans="1:41" ht="14.1" customHeight="1" x14ac:dyDescent="0.2">
      <c r="A184" s="24"/>
      <c r="B184" s="4" t="s">
        <v>161</v>
      </c>
      <c r="C184" s="122">
        <f>Produksi!D189</f>
        <v>1814.0720453856002</v>
      </c>
      <c r="D184" s="122">
        <f>Produksi!F189</f>
        <v>117.91468295006402</v>
      </c>
      <c r="E184" s="123" t="e">
        <f>#REF!</f>
        <v>#REF!</v>
      </c>
      <c r="F184" s="124" t="e">
        <f>#REF!+#REF!</f>
        <v>#REF!</v>
      </c>
      <c r="G184" s="124"/>
      <c r="H184" s="124" t="e">
        <f t="shared" si="30"/>
        <v>#REF!</v>
      </c>
      <c r="I184" s="124">
        <f>'Pemakaian Dalam Negeri'!E191</f>
        <v>0</v>
      </c>
      <c r="J184" s="125">
        <f>'Pemakaian Dalam Negeri'!F191</f>
        <v>0</v>
      </c>
      <c r="K184" s="124">
        <f>'Pemakaian Dalam Negeri'!G191</f>
        <v>0</v>
      </c>
      <c r="L184" s="124">
        <f>'Pemakaian Dalam Negeri'!H191</f>
        <v>0</v>
      </c>
      <c r="M184" s="124">
        <f>'Pemakaian Dalam Negeri'!I191</f>
        <v>0</v>
      </c>
      <c r="N184" s="124">
        <f>'Pemakaian Dalam Negeri'!J191</f>
        <v>0</v>
      </c>
      <c r="O184" s="124" t="e">
        <f t="shared" si="28"/>
        <v>#REF!</v>
      </c>
      <c r="P184" s="124" t="e">
        <f t="shared" si="29"/>
        <v>#REF!</v>
      </c>
      <c r="Q184" s="126" t="e">
        <f t="shared" si="22"/>
        <v>#REF!</v>
      </c>
      <c r="R184" s="126" t="e">
        <f t="shared" si="23"/>
        <v>#REF!</v>
      </c>
      <c r="S184" s="126" t="e">
        <f t="shared" si="24"/>
        <v>#REF!</v>
      </c>
      <c r="T184" s="126" t="e">
        <f t="shared" si="25"/>
        <v>#REF!</v>
      </c>
      <c r="U184" s="127" t="e">
        <f t="shared" si="26"/>
        <v>#REF!</v>
      </c>
      <c r="V184" s="203"/>
      <c r="AD184" s="119">
        <v>100</v>
      </c>
      <c r="AE184" s="131">
        <v>818</v>
      </c>
      <c r="AF184" s="131">
        <v>1.5</v>
      </c>
      <c r="AG184" s="131">
        <v>90</v>
      </c>
      <c r="AH184" s="120">
        <v>0</v>
      </c>
      <c r="AI184" s="120">
        <v>0</v>
      </c>
      <c r="AJ184" s="120">
        <v>0</v>
      </c>
      <c r="AK184" s="120">
        <v>0</v>
      </c>
      <c r="AL184" s="120">
        <v>0</v>
      </c>
      <c r="AM184" s="120">
        <v>0</v>
      </c>
      <c r="AN184" s="120"/>
      <c r="AO184" s="120"/>
    </row>
    <row r="185" spans="1:41" ht="14.1" customHeight="1" x14ac:dyDescent="0.2">
      <c r="A185" s="24"/>
      <c r="B185" s="4" t="s">
        <v>162</v>
      </c>
      <c r="C185" s="122">
        <f>Produksi!D190</f>
        <v>192.29907048039999</v>
      </c>
      <c r="D185" s="122">
        <f>Produksi!F190</f>
        <v>9.0188264055307599</v>
      </c>
      <c r="E185" s="123" t="e">
        <f>#REF!</f>
        <v>#REF!</v>
      </c>
      <c r="F185" s="124" t="e">
        <f>#REF!+#REF!</f>
        <v>#REF!</v>
      </c>
      <c r="G185" s="124"/>
      <c r="H185" s="124" t="e">
        <f t="shared" si="30"/>
        <v>#REF!</v>
      </c>
      <c r="I185" s="124">
        <f>'Pemakaian Dalam Negeri'!E192</f>
        <v>0</v>
      </c>
      <c r="J185" s="125">
        <f>'Pemakaian Dalam Negeri'!F192</f>
        <v>0</v>
      </c>
      <c r="K185" s="124">
        <f>'Pemakaian Dalam Negeri'!G192</f>
        <v>0</v>
      </c>
      <c r="L185" s="124">
        <f>'Pemakaian Dalam Negeri'!H192</f>
        <v>0</v>
      </c>
      <c r="M185" s="124">
        <f>'Pemakaian Dalam Negeri'!I192</f>
        <v>0</v>
      </c>
      <c r="N185" s="124">
        <f>'Pemakaian Dalam Negeri'!J192</f>
        <v>0</v>
      </c>
      <c r="O185" s="124" t="e">
        <f t="shared" si="28"/>
        <v>#REF!</v>
      </c>
      <c r="P185" s="124" t="e">
        <f t="shared" si="29"/>
        <v>#REF!</v>
      </c>
      <c r="Q185" s="126" t="e">
        <f t="shared" si="22"/>
        <v>#REF!</v>
      </c>
      <c r="R185" s="126" t="e">
        <f t="shared" si="23"/>
        <v>#REF!</v>
      </c>
      <c r="S185" s="126" t="e">
        <f t="shared" si="24"/>
        <v>#REF!</v>
      </c>
      <c r="T185" s="126" t="e">
        <f t="shared" si="25"/>
        <v>#REF!</v>
      </c>
      <c r="U185" s="127" t="e">
        <f t="shared" si="26"/>
        <v>#REF!</v>
      </c>
      <c r="V185" s="203"/>
      <c r="AD185" s="119">
        <v>100</v>
      </c>
      <c r="AE185" s="131">
        <v>818</v>
      </c>
      <c r="AF185" s="131">
        <v>1.5</v>
      </c>
      <c r="AG185" s="131">
        <v>90</v>
      </c>
      <c r="AH185" s="120">
        <v>0</v>
      </c>
      <c r="AI185" s="120">
        <v>0</v>
      </c>
      <c r="AJ185" s="120">
        <v>0</v>
      </c>
      <c r="AK185" s="120">
        <v>0</v>
      </c>
      <c r="AL185" s="120">
        <v>0</v>
      </c>
      <c r="AM185" s="120">
        <v>0</v>
      </c>
      <c r="AN185" s="120"/>
      <c r="AO185" s="120"/>
    </row>
    <row r="186" spans="1:41" ht="14.1" customHeight="1" x14ac:dyDescent="0.2">
      <c r="A186" s="24"/>
      <c r="B186" s="4" t="s">
        <v>163</v>
      </c>
      <c r="C186" s="122">
        <f>Produksi!D191</f>
        <v>64.02222026199999</v>
      </c>
      <c r="D186" s="122">
        <f>Produksi!F191</f>
        <v>5.0385487346193996</v>
      </c>
      <c r="E186" s="123" t="e">
        <f>#REF!</f>
        <v>#REF!</v>
      </c>
      <c r="F186" s="124" t="e">
        <f>#REF!+#REF!</f>
        <v>#REF!</v>
      </c>
      <c r="G186" s="124"/>
      <c r="H186" s="124" t="e">
        <f t="shared" si="30"/>
        <v>#REF!</v>
      </c>
      <c r="I186" s="124">
        <f>'Pemakaian Dalam Negeri'!E193</f>
        <v>0</v>
      </c>
      <c r="J186" s="125">
        <f>'Pemakaian Dalam Negeri'!F193</f>
        <v>0</v>
      </c>
      <c r="K186" s="124">
        <f>'Pemakaian Dalam Negeri'!G193</f>
        <v>0</v>
      </c>
      <c r="L186" s="124">
        <f>'Pemakaian Dalam Negeri'!H193</f>
        <v>0</v>
      </c>
      <c r="M186" s="124">
        <f>'Pemakaian Dalam Negeri'!I193</f>
        <v>0</v>
      </c>
      <c r="N186" s="124">
        <f>'Pemakaian Dalam Negeri'!J193</f>
        <v>162.37468295006403</v>
      </c>
      <c r="O186" s="124" t="e">
        <f t="shared" si="28"/>
        <v>#REF!</v>
      </c>
      <c r="P186" s="124" t="e">
        <f t="shared" si="29"/>
        <v>#REF!</v>
      </c>
      <c r="Q186" s="126" t="e">
        <f t="shared" si="22"/>
        <v>#REF!</v>
      </c>
      <c r="R186" s="126" t="e">
        <f t="shared" si="23"/>
        <v>#REF!</v>
      </c>
      <c r="S186" s="126" t="e">
        <f t="shared" si="24"/>
        <v>#REF!</v>
      </c>
      <c r="T186" s="126" t="e">
        <f t="shared" si="25"/>
        <v>#REF!</v>
      </c>
      <c r="U186" s="127" t="e">
        <f t="shared" si="26"/>
        <v>#REF!</v>
      </c>
      <c r="V186" s="196"/>
      <c r="AD186" s="119">
        <v>100</v>
      </c>
      <c r="AE186" s="131">
        <v>818</v>
      </c>
      <c r="AF186" s="131">
        <v>1.5</v>
      </c>
      <c r="AG186" s="131">
        <v>90</v>
      </c>
      <c r="AH186" s="120">
        <v>0</v>
      </c>
      <c r="AI186" s="120">
        <v>0</v>
      </c>
      <c r="AJ186" s="120">
        <v>0</v>
      </c>
      <c r="AK186" s="120">
        <v>0</v>
      </c>
      <c r="AL186" s="120">
        <v>0</v>
      </c>
      <c r="AM186" s="120">
        <v>0</v>
      </c>
      <c r="AN186" s="120"/>
      <c r="AO186" s="120"/>
    </row>
    <row r="187" spans="1:41" ht="14.1" customHeight="1" x14ac:dyDescent="0.2">
      <c r="A187" s="34"/>
      <c r="B187" s="4" t="s">
        <v>164</v>
      </c>
      <c r="C187" s="122">
        <f>Produksi!D192</f>
        <v>0</v>
      </c>
      <c r="D187" s="122">
        <f>Produksi!F192</f>
        <v>0</v>
      </c>
      <c r="E187" s="123" t="e">
        <f>#REF!</f>
        <v>#REF!</v>
      </c>
      <c r="F187" s="124" t="e">
        <f>#REF!+#REF!</f>
        <v>#REF!</v>
      </c>
      <c r="G187" s="124"/>
      <c r="H187" s="124" t="e">
        <f t="shared" si="30"/>
        <v>#REF!</v>
      </c>
      <c r="I187" s="124">
        <f>'Pemakaian Dalam Negeri'!E194</f>
        <v>0</v>
      </c>
      <c r="J187" s="125">
        <f>'Pemakaian Dalam Negeri'!F194</f>
        <v>0</v>
      </c>
      <c r="K187" s="124">
        <f>'Pemakaian Dalam Negeri'!G194</f>
        <v>0</v>
      </c>
      <c r="L187" s="124">
        <f>'Pemakaian Dalam Negeri'!H194</f>
        <v>0</v>
      </c>
      <c r="M187" s="124">
        <f>'Pemakaian Dalam Negeri'!I194</f>
        <v>0</v>
      </c>
      <c r="N187" s="124">
        <f>'Pemakaian Dalam Negeri'!J194</f>
        <v>19.068826405530761</v>
      </c>
      <c r="O187" s="124" t="e">
        <f t="shared" si="28"/>
        <v>#REF!</v>
      </c>
      <c r="P187" s="124" t="e">
        <f t="shared" si="29"/>
        <v>#REF!</v>
      </c>
      <c r="Q187" s="126" t="e">
        <f t="shared" si="22"/>
        <v>#REF!</v>
      </c>
      <c r="R187" s="126" t="e">
        <f t="shared" si="23"/>
        <v>#REF!</v>
      </c>
      <c r="S187" s="126" t="e">
        <f t="shared" si="24"/>
        <v>#REF!</v>
      </c>
      <c r="T187" s="126" t="e">
        <f t="shared" si="25"/>
        <v>#REF!</v>
      </c>
      <c r="U187" s="127" t="e">
        <f t="shared" si="26"/>
        <v>#REF!</v>
      </c>
      <c r="AD187" s="119">
        <v>100</v>
      </c>
      <c r="AE187" s="131">
        <v>818</v>
      </c>
      <c r="AF187" s="131">
        <v>1.5</v>
      </c>
      <c r="AG187" s="131">
        <v>90</v>
      </c>
      <c r="AH187" s="120">
        <v>0</v>
      </c>
      <c r="AI187" s="120">
        <v>0</v>
      </c>
      <c r="AJ187" s="120">
        <v>0</v>
      </c>
      <c r="AK187" s="120">
        <v>0</v>
      </c>
      <c r="AL187" s="120">
        <v>0</v>
      </c>
      <c r="AM187" s="120">
        <v>0</v>
      </c>
      <c r="AN187" s="120"/>
      <c r="AO187" s="120"/>
    </row>
    <row r="188" spans="1:41" ht="14.1" customHeight="1" x14ac:dyDescent="0.2">
      <c r="A188" s="23"/>
      <c r="B188" s="4" t="s">
        <v>165</v>
      </c>
      <c r="C188" s="122">
        <f>Produksi!D193</f>
        <v>0</v>
      </c>
      <c r="D188" s="122">
        <f>Produksi!F193</f>
        <v>0</v>
      </c>
      <c r="E188" s="123" t="e">
        <f>#REF!</f>
        <v>#REF!</v>
      </c>
      <c r="F188" s="124" t="e">
        <f>#REF!+#REF!</f>
        <v>#REF!</v>
      </c>
      <c r="G188" s="124"/>
      <c r="H188" s="124" t="e">
        <f t="shared" si="30"/>
        <v>#REF!</v>
      </c>
      <c r="I188" s="124">
        <f>'Pemakaian Dalam Negeri'!E195</f>
        <v>0</v>
      </c>
      <c r="J188" s="125">
        <f>'Pemakaian Dalam Negeri'!F195</f>
        <v>0</v>
      </c>
      <c r="K188" s="124">
        <f>'Pemakaian Dalam Negeri'!G195</f>
        <v>0</v>
      </c>
      <c r="L188" s="124">
        <f>'Pemakaian Dalam Negeri'!H195</f>
        <v>0</v>
      </c>
      <c r="M188" s="124">
        <f>'Pemakaian Dalam Negeri'!I195</f>
        <v>0</v>
      </c>
      <c r="N188" s="124">
        <f>'Pemakaian Dalam Negeri'!J195</f>
        <v>5.0385487346193996</v>
      </c>
      <c r="O188" s="124" t="e">
        <f t="shared" si="28"/>
        <v>#REF!</v>
      </c>
      <c r="P188" s="124" t="e">
        <f t="shared" si="29"/>
        <v>#REF!</v>
      </c>
      <c r="Q188" s="126" t="e">
        <f t="shared" si="22"/>
        <v>#REF!</v>
      </c>
      <c r="R188" s="126" t="e">
        <f t="shared" si="23"/>
        <v>#REF!</v>
      </c>
      <c r="S188" s="126" t="e">
        <f t="shared" si="24"/>
        <v>#REF!</v>
      </c>
      <c r="T188" s="126" t="e">
        <f t="shared" si="25"/>
        <v>#REF!</v>
      </c>
      <c r="U188" s="127" t="e">
        <f t="shared" si="26"/>
        <v>#REF!</v>
      </c>
      <c r="AD188" s="119">
        <v>100</v>
      </c>
      <c r="AE188" s="131">
        <v>902</v>
      </c>
      <c r="AF188" s="131">
        <v>0</v>
      </c>
      <c r="AG188" s="131">
        <v>100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120">
        <v>0</v>
      </c>
      <c r="AN188" s="120"/>
      <c r="AO188" s="120"/>
    </row>
    <row r="189" spans="1:41" ht="14.1" customHeight="1" x14ac:dyDescent="0.2">
      <c r="A189" s="36"/>
      <c r="B189" s="37"/>
      <c r="C189" s="195"/>
      <c r="D189" s="205"/>
      <c r="E189" s="205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Q189" s="198"/>
      <c r="R189" s="198"/>
      <c r="S189" s="198"/>
      <c r="T189" s="206"/>
      <c r="U189" s="198"/>
      <c r="AD189" s="119"/>
      <c r="AE189" s="119"/>
      <c r="AF189" s="119"/>
      <c r="AG189" s="119"/>
      <c r="AH189" s="120"/>
      <c r="AI189" s="120"/>
      <c r="AJ189" s="192"/>
      <c r="AK189" s="193"/>
      <c r="AL189" s="192"/>
      <c r="AM189" s="120"/>
      <c r="AN189" s="120"/>
      <c r="AO189" s="120"/>
    </row>
    <row r="190" spans="1:41" ht="14.1" customHeight="1" x14ac:dyDescent="0.2">
      <c r="A190" s="65"/>
      <c r="B190" s="197"/>
      <c r="C190" s="195"/>
      <c r="D190" s="205"/>
      <c r="E190" s="205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Q190" s="199" t="s">
        <v>300</v>
      </c>
      <c r="R190" s="199" t="s">
        <v>301</v>
      </c>
      <c r="S190" s="200" t="e">
        <f>S174+S138+S134+S128+S115+S80+S38+S29+S25+S20+S12</f>
        <v>#REF!</v>
      </c>
      <c r="T190" s="200" t="e">
        <f>T174+T138+T134+T128+T115+T80+T38+T29+T25+T20+T12</f>
        <v>#REF!</v>
      </c>
      <c r="U190" s="200" t="e">
        <f>U174+U138+U134+U128+U115+U80+U38+U29+U25+U20+U12</f>
        <v>#REF!</v>
      </c>
      <c r="AD190" s="119"/>
      <c r="AE190" s="119"/>
      <c r="AF190" s="119"/>
      <c r="AG190" s="119"/>
      <c r="AH190" s="120"/>
      <c r="AI190" s="120"/>
      <c r="AJ190" s="192"/>
      <c r="AK190" s="193"/>
      <c r="AL190" s="192"/>
      <c r="AM190" s="120"/>
      <c r="AN190" s="120"/>
      <c r="AO190" s="120"/>
    </row>
    <row r="191" spans="1:41" ht="14.1" customHeight="1" x14ac:dyDescent="0.2">
      <c r="A191" s="65"/>
      <c r="B191" s="197"/>
      <c r="C191" s="207"/>
      <c r="D191" s="205"/>
      <c r="E191" s="205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Q191" s="69"/>
      <c r="R191" s="69"/>
      <c r="S191" s="201"/>
      <c r="T191" s="200"/>
      <c r="U191" s="201"/>
      <c r="AD191" s="119"/>
      <c r="AE191" s="119"/>
      <c r="AF191" s="119"/>
      <c r="AG191" s="119"/>
      <c r="AH191" s="120"/>
      <c r="AI191" s="120"/>
      <c r="AJ191" s="192"/>
      <c r="AK191" s="193"/>
      <c r="AL191" s="192"/>
      <c r="AM191" s="192"/>
      <c r="AN191" s="120"/>
      <c r="AO191" s="120"/>
    </row>
    <row r="192" spans="1:41" ht="14.1" customHeight="1" x14ac:dyDescent="0.2">
      <c r="A192" s="65"/>
      <c r="B192" s="65"/>
      <c r="C192" s="60"/>
      <c r="D192" s="208"/>
      <c r="E192" s="205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Q192" s="199" t="s">
        <v>302</v>
      </c>
      <c r="R192" s="199" t="s">
        <v>301</v>
      </c>
      <c r="S192" s="200" t="e">
        <f>S176+S177+S178+S180+S179+S181+S182+S160+S80+S38+S29+S25+S20+S12</f>
        <v>#REF!</v>
      </c>
      <c r="T192" s="200" t="e">
        <f>T176+T177+T178+T180+T179+T181+T182+T160+T80+T38+T29+T25+T20+T12</f>
        <v>#REF!</v>
      </c>
      <c r="U192" s="200" t="e">
        <f>U176+U177+U178+U180+U179+U181+U182+U160+U80+U38+U29+U25+U20+U12</f>
        <v>#REF!</v>
      </c>
      <c r="AD192" s="119"/>
      <c r="AE192" s="119"/>
      <c r="AF192" s="119"/>
      <c r="AG192" s="119"/>
      <c r="AH192" s="120"/>
      <c r="AI192" s="120"/>
      <c r="AJ192" s="192"/>
      <c r="AK192" s="193"/>
      <c r="AL192" s="193"/>
      <c r="AM192" s="193"/>
      <c r="AN192" s="120"/>
      <c r="AO192" s="120"/>
    </row>
    <row r="193" spans="3:41" ht="14.1" customHeight="1" x14ac:dyDescent="0.2">
      <c r="C193" s="209"/>
      <c r="D193" s="210"/>
      <c r="E193" s="211"/>
      <c r="Q193" s="199"/>
      <c r="R193" s="199"/>
      <c r="S193" s="200"/>
      <c r="T193" s="200"/>
      <c r="U193" s="200"/>
      <c r="AD193" s="119"/>
      <c r="AE193" s="119"/>
      <c r="AF193" s="119"/>
      <c r="AG193" s="119"/>
      <c r="AH193" s="192"/>
      <c r="AI193" s="192"/>
      <c r="AJ193" s="192"/>
      <c r="AK193" s="193"/>
      <c r="AL193" s="192"/>
      <c r="AM193" s="212"/>
      <c r="AN193" s="120"/>
      <c r="AO193" s="120"/>
    </row>
    <row r="194" spans="3:41" ht="14.1" customHeight="1" x14ac:dyDescent="0.2">
      <c r="C194" s="209"/>
      <c r="D194" s="209"/>
      <c r="E194" s="211"/>
      <c r="Q194" s="199" t="s">
        <v>303</v>
      </c>
      <c r="R194" s="199" t="s">
        <v>301</v>
      </c>
      <c r="S194" s="200" t="e">
        <f>S188+S187+S186+S185+S184+S138+S134+S128+S115-S160</f>
        <v>#REF!</v>
      </c>
      <c r="T194" s="200" t="e">
        <f>T188+T187+T186+T185+T184+T138+T134+T128+T115-T160</f>
        <v>#REF!</v>
      </c>
      <c r="U194" s="200" t="e">
        <f>U188+U187+U186+U185+U184+U138+U134+U128+U115-U160</f>
        <v>#REF!</v>
      </c>
      <c r="AD194" s="131"/>
      <c r="AE194" s="131"/>
      <c r="AF194" s="131"/>
      <c r="AG194" s="131"/>
      <c r="AH194" s="120"/>
      <c r="AI194" s="120"/>
      <c r="AJ194" s="120"/>
      <c r="AK194" s="120"/>
      <c r="AL194" s="120"/>
      <c r="AM194" s="120"/>
      <c r="AN194" s="120"/>
      <c r="AO194" s="120"/>
    </row>
    <row r="195" spans="3:41" ht="14.1" customHeight="1" x14ac:dyDescent="0.2">
      <c r="AD195" s="119"/>
      <c r="AE195" s="119"/>
      <c r="AF195" s="119"/>
      <c r="AG195" s="119"/>
    </row>
  </sheetData>
  <mergeCells count="47">
    <mergeCell ref="W4:AC4"/>
    <mergeCell ref="A5:B7"/>
    <mergeCell ref="C5:H5"/>
    <mergeCell ref="I5:P5"/>
    <mergeCell ref="Q5:U5"/>
    <mergeCell ref="X5:AC5"/>
    <mergeCell ref="I6:I7"/>
    <mergeCell ref="X6:X7"/>
    <mergeCell ref="Y6:Y7"/>
    <mergeCell ref="Z6:AA6"/>
    <mergeCell ref="AB6:AB7"/>
    <mergeCell ref="Z7:AA7"/>
    <mergeCell ref="M6:M7"/>
    <mergeCell ref="N6:N7"/>
    <mergeCell ref="P6:P10"/>
    <mergeCell ref="Q6:U6"/>
    <mergeCell ref="T1:U1"/>
    <mergeCell ref="A2:U2"/>
    <mergeCell ref="A3:U3"/>
    <mergeCell ref="G4:I4"/>
    <mergeCell ref="C6:D6"/>
    <mergeCell ref="E6:E7"/>
    <mergeCell ref="F6:F7"/>
    <mergeCell ref="G6:G7"/>
    <mergeCell ref="H6:H10"/>
    <mergeCell ref="C7:D7"/>
    <mergeCell ref="K7:L7"/>
    <mergeCell ref="Q7:Q8"/>
    <mergeCell ref="M8:M10"/>
    <mergeCell ref="N8:N10"/>
    <mergeCell ref="J6:J7"/>
    <mergeCell ref="K6:L6"/>
    <mergeCell ref="AD9:AM9"/>
    <mergeCell ref="A11:B11"/>
    <mergeCell ref="X8:X10"/>
    <mergeCell ref="Y8:Y10"/>
    <mergeCell ref="Z8:Z9"/>
    <mergeCell ref="AB8:AB10"/>
    <mergeCell ref="AC8:AC10"/>
    <mergeCell ref="Q9:Q10"/>
    <mergeCell ref="A8:B9"/>
    <mergeCell ref="F8:F10"/>
    <mergeCell ref="G8:G10"/>
    <mergeCell ref="I8:I10"/>
    <mergeCell ref="J8:J10"/>
    <mergeCell ref="K8:K9"/>
    <mergeCell ref="O8:O10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62" firstPageNumber="58" fitToHeight="0" pageOrder="overThenDown" orientation="portrait" useFirstPageNumber="1" horizontalDpi="360" verticalDpi="360" r:id="rId1"/>
  <headerFooter>
    <oddFooter>&amp;LNeraca Bahan Makanan  2016-2018&amp;C&amp;P</oddFooter>
  </headerFooter>
  <rowBreaks count="4" manualBreakCount="4">
    <brk id="47" max="20" man="1"/>
    <brk id="80" max="20" man="1"/>
    <brk id="111" max="20" man="1"/>
    <brk id="128" max="20" man="1"/>
  </rowBreaks>
  <colBreaks count="1" manualBreakCount="1">
    <brk id="8" max="204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2" zoomScale="63" zoomScaleNormal="130" workbookViewId="0">
      <selection activeCell="C15" sqref="C15"/>
    </sheetView>
  </sheetViews>
  <sheetFormatPr defaultColWidth="9" defaultRowHeight="12.75" x14ac:dyDescent="0.2"/>
  <cols>
    <col min="1" max="1" width="4.28515625" style="213" customWidth="1"/>
    <col min="2" max="2" width="17.28515625" style="213" customWidth="1"/>
    <col min="3" max="8" width="9" style="213"/>
    <col min="9" max="9" width="7.7109375" style="213" customWidth="1"/>
    <col min="10" max="11" width="9" style="213"/>
    <col min="12" max="12" width="25" style="213" customWidth="1"/>
    <col min="13" max="13" width="10.28515625" style="213" customWidth="1"/>
    <col min="14" max="14" width="11" style="213" customWidth="1"/>
    <col min="15" max="15" width="12.7109375" style="213" customWidth="1"/>
    <col min="16" max="256" width="9" style="213"/>
    <col min="257" max="257" width="4.28515625" style="213" customWidth="1"/>
    <col min="258" max="258" width="17.28515625" style="213" customWidth="1"/>
    <col min="259" max="264" width="9" style="213"/>
    <col min="265" max="265" width="7.7109375" style="213" customWidth="1"/>
    <col min="266" max="267" width="9" style="213"/>
    <col min="268" max="268" width="25" style="213" customWidth="1"/>
    <col min="269" max="269" width="10.28515625" style="213" customWidth="1"/>
    <col min="270" max="270" width="11" style="213" customWidth="1"/>
    <col min="271" max="271" width="12.7109375" style="213" customWidth="1"/>
    <col min="272" max="512" width="9" style="213"/>
    <col min="513" max="513" width="4.28515625" style="213" customWidth="1"/>
    <col min="514" max="514" width="17.28515625" style="213" customWidth="1"/>
    <col min="515" max="520" width="9" style="213"/>
    <col min="521" max="521" width="7.7109375" style="213" customWidth="1"/>
    <col min="522" max="523" width="9" style="213"/>
    <col min="524" max="524" width="25" style="213" customWidth="1"/>
    <col min="525" max="525" width="10.28515625" style="213" customWidth="1"/>
    <col min="526" max="526" width="11" style="213" customWidth="1"/>
    <col min="527" max="527" width="12.7109375" style="213" customWidth="1"/>
    <col min="528" max="768" width="9" style="213"/>
    <col min="769" max="769" width="4.28515625" style="213" customWidth="1"/>
    <col min="770" max="770" width="17.28515625" style="213" customWidth="1"/>
    <col min="771" max="776" width="9" style="213"/>
    <col min="777" max="777" width="7.7109375" style="213" customWidth="1"/>
    <col min="778" max="779" width="9" style="213"/>
    <col min="780" max="780" width="25" style="213" customWidth="1"/>
    <col min="781" max="781" width="10.28515625" style="213" customWidth="1"/>
    <col min="782" max="782" width="11" style="213" customWidth="1"/>
    <col min="783" max="783" width="12.7109375" style="213" customWidth="1"/>
    <col min="784" max="1024" width="9" style="213"/>
    <col min="1025" max="1025" width="4.28515625" style="213" customWidth="1"/>
    <col min="1026" max="1026" width="17.28515625" style="213" customWidth="1"/>
    <col min="1027" max="1032" width="9" style="213"/>
    <col min="1033" max="1033" width="7.7109375" style="213" customWidth="1"/>
    <col min="1034" max="1035" width="9" style="213"/>
    <col min="1036" max="1036" width="25" style="213" customWidth="1"/>
    <col min="1037" max="1037" width="10.28515625" style="213" customWidth="1"/>
    <col min="1038" max="1038" width="11" style="213" customWidth="1"/>
    <col min="1039" max="1039" width="12.7109375" style="213" customWidth="1"/>
    <col min="1040" max="1280" width="9" style="213"/>
    <col min="1281" max="1281" width="4.28515625" style="213" customWidth="1"/>
    <col min="1282" max="1282" width="17.28515625" style="213" customWidth="1"/>
    <col min="1283" max="1288" width="9" style="213"/>
    <col min="1289" max="1289" width="7.7109375" style="213" customWidth="1"/>
    <col min="1290" max="1291" width="9" style="213"/>
    <col min="1292" max="1292" width="25" style="213" customWidth="1"/>
    <col min="1293" max="1293" width="10.28515625" style="213" customWidth="1"/>
    <col min="1294" max="1294" width="11" style="213" customWidth="1"/>
    <col min="1295" max="1295" width="12.7109375" style="213" customWidth="1"/>
    <col min="1296" max="1536" width="9" style="213"/>
    <col min="1537" max="1537" width="4.28515625" style="213" customWidth="1"/>
    <col min="1538" max="1538" width="17.28515625" style="213" customWidth="1"/>
    <col min="1539" max="1544" width="9" style="213"/>
    <col min="1545" max="1545" width="7.7109375" style="213" customWidth="1"/>
    <col min="1546" max="1547" width="9" style="213"/>
    <col min="1548" max="1548" width="25" style="213" customWidth="1"/>
    <col min="1549" max="1549" width="10.28515625" style="213" customWidth="1"/>
    <col min="1550" max="1550" width="11" style="213" customWidth="1"/>
    <col min="1551" max="1551" width="12.7109375" style="213" customWidth="1"/>
    <col min="1552" max="1792" width="9" style="213"/>
    <col min="1793" max="1793" width="4.28515625" style="213" customWidth="1"/>
    <col min="1794" max="1794" width="17.28515625" style="213" customWidth="1"/>
    <col min="1795" max="1800" width="9" style="213"/>
    <col min="1801" max="1801" width="7.7109375" style="213" customWidth="1"/>
    <col min="1802" max="1803" width="9" style="213"/>
    <col min="1804" max="1804" width="25" style="213" customWidth="1"/>
    <col min="1805" max="1805" width="10.28515625" style="213" customWidth="1"/>
    <col min="1806" max="1806" width="11" style="213" customWidth="1"/>
    <col min="1807" max="1807" width="12.7109375" style="213" customWidth="1"/>
    <col min="1808" max="2048" width="9" style="213"/>
    <col min="2049" max="2049" width="4.28515625" style="213" customWidth="1"/>
    <col min="2050" max="2050" width="17.28515625" style="213" customWidth="1"/>
    <col min="2051" max="2056" width="9" style="213"/>
    <col min="2057" max="2057" width="7.7109375" style="213" customWidth="1"/>
    <col min="2058" max="2059" width="9" style="213"/>
    <col min="2060" max="2060" width="25" style="213" customWidth="1"/>
    <col min="2061" max="2061" width="10.28515625" style="213" customWidth="1"/>
    <col min="2062" max="2062" width="11" style="213" customWidth="1"/>
    <col min="2063" max="2063" width="12.7109375" style="213" customWidth="1"/>
    <col min="2064" max="2304" width="9" style="213"/>
    <col min="2305" max="2305" width="4.28515625" style="213" customWidth="1"/>
    <col min="2306" max="2306" width="17.28515625" style="213" customWidth="1"/>
    <col min="2307" max="2312" width="9" style="213"/>
    <col min="2313" max="2313" width="7.7109375" style="213" customWidth="1"/>
    <col min="2314" max="2315" width="9" style="213"/>
    <col min="2316" max="2316" width="25" style="213" customWidth="1"/>
    <col min="2317" max="2317" width="10.28515625" style="213" customWidth="1"/>
    <col min="2318" max="2318" width="11" style="213" customWidth="1"/>
    <col min="2319" max="2319" width="12.7109375" style="213" customWidth="1"/>
    <col min="2320" max="2560" width="9" style="213"/>
    <col min="2561" max="2561" width="4.28515625" style="213" customWidth="1"/>
    <col min="2562" max="2562" width="17.28515625" style="213" customWidth="1"/>
    <col min="2563" max="2568" width="9" style="213"/>
    <col min="2569" max="2569" width="7.7109375" style="213" customWidth="1"/>
    <col min="2570" max="2571" width="9" style="213"/>
    <col min="2572" max="2572" width="25" style="213" customWidth="1"/>
    <col min="2573" max="2573" width="10.28515625" style="213" customWidth="1"/>
    <col min="2574" max="2574" width="11" style="213" customWidth="1"/>
    <col min="2575" max="2575" width="12.7109375" style="213" customWidth="1"/>
    <col min="2576" max="2816" width="9" style="213"/>
    <col min="2817" max="2817" width="4.28515625" style="213" customWidth="1"/>
    <col min="2818" max="2818" width="17.28515625" style="213" customWidth="1"/>
    <col min="2819" max="2824" width="9" style="213"/>
    <col min="2825" max="2825" width="7.7109375" style="213" customWidth="1"/>
    <col min="2826" max="2827" width="9" style="213"/>
    <col min="2828" max="2828" width="25" style="213" customWidth="1"/>
    <col min="2829" max="2829" width="10.28515625" style="213" customWidth="1"/>
    <col min="2830" max="2830" width="11" style="213" customWidth="1"/>
    <col min="2831" max="2831" width="12.7109375" style="213" customWidth="1"/>
    <col min="2832" max="3072" width="9" style="213"/>
    <col min="3073" max="3073" width="4.28515625" style="213" customWidth="1"/>
    <col min="3074" max="3074" width="17.28515625" style="213" customWidth="1"/>
    <col min="3075" max="3080" width="9" style="213"/>
    <col min="3081" max="3081" width="7.7109375" style="213" customWidth="1"/>
    <col min="3082" max="3083" width="9" style="213"/>
    <col min="3084" max="3084" width="25" style="213" customWidth="1"/>
    <col min="3085" max="3085" width="10.28515625" style="213" customWidth="1"/>
    <col min="3086" max="3086" width="11" style="213" customWidth="1"/>
    <col min="3087" max="3087" width="12.7109375" style="213" customWidth="1"/>
    <col min="3088" max="3328" width="9" style="213"/>
    <col min="3329" max="3329" width="4.28515625" style="213" customWidth="1"/>
    <col min="3330" max="3330" width="17.28515625" style="213" customWidth="1"/>
    <col min="3331" max="3336" width="9" style="213"/>
    <col min="3337" max="3337" width="7.7109375" style="213" customWidth="1"/>
    <col min="3338" max="3339" width="9" style="213"/>
    <col min="3340" max="3340" width="25" style="213" customWidth="1"/>
    <col min="3341" max="3341" width="10.28515625" style="213" customWidth="1"/>
    <col min="3342" max="3342" width="11" style="213" customWidth="1"/>
    <col min="3343" max="3343" width="12.7109375" style="213" customWidth="1"/>
    <col min="3344" max="3584" width="9" style="213"/>
    <col min="3585" max="3585" width="4.28515625" style="213" customWidth="1"/>
    <col min="3586" max="3586" width="17.28515625" style="213" customWidth="1"/>
    <col min="3587" max="3592" width="9" style="213"/>
    <col min="3593" max="3593" width="7.7109375" style="213" customWidth="1"/>
    <col min="3594" max="3595" width="9" style="213"/>
    <col min="3596" max="3596" width="25" style="213" customWidth="1"/>
    <col min="3597" max="3597" width="10.28515625" style="213" customWidth="1"/>
    <col min="3598" max="3598" width="11" style="213" customWidth="1"/>
    <col min="3599" max="3599" width="12.7109375" style="213" customWidth="1"/>
    <col min="3600" max="3840" width="9" style="213"/>
    <col min="3841" max="3841" width="4.28515625" style="213" customWidth="1"/>
    <col min="3842" max="3842" width="17.28515625" style="213" customWidth="1"/>
    <col min="3843" max="3848" width="9" style="213"/>
    <col min="3849" max="3849" width="7.7109375" style="213" customWidth="1"/>
    <col min="3850" max="3851" width="9" style="213"/>
    <col min="3852" max="3852" width="25" style="213" customWidth="1"/>
    <col min="3853" max="3853" width="10.28515625" style="213" customWidth="1"/>
    <col min="3854" max="3854" width="11" style="213" customWidth="1"/>
    <col min="3855" max="3855" width="12.7109375" style="213" customWidth="1"/>
    <col min="3856" max="4096" width="9" style="213"/>
    <col min="4097" max="4097" width="4.28515625" style="213" customWidth="1"/>
    <col min="4098" max="4098" width="17.28515625" style="213" customWidth="1"/>
    <col min="4099" max="4104" width="9" style="213"/>
    <col min="4105" max="4105" width="7.7109375" style="213" customWidth="1"/>
    <col min="4106" max="4107" width="9" style="213"/>
    <col min="4108" max="4108" width="25" style="213" customWidth="1"/>
    <col min="4109" max="4109" width="10.28515625" style="213" customWidth="1"/>
    <col min="4110" max="4110" width="11" style="213" customWidth="1"/>
    <col min="4111" max="4111" width="12.7109375" style="213" customWidth="1"/>
    <col min="4112" max="4352" width="9" style="213"/>
    <col min="4353" max="4353" width="4.28515625" style="213" customWidth="1"/>
    <col min="4354" max="4354" width="17.28515625" style="213" customWidth="1"/>
    <col min="4355" max="4360" width="9" style="213"/>
    <col min="4361" max="4361" width="7.7109375" style="213" customWidth="1"/>
    <col min="4362" max="4363" width="9" style="213"/>
    <col min="4364" max="4364" width="25" style="213" customWidth="1"/>
    <col min="4365" max="4365" width="10.28515625" style="213" customWidth="1"/>
    <col min="4366" max="4366" width="11" style="213" customWidth="1"/>
    <col min="4367" max="4367" width="12.7109375" style="213" customWidth="1"/>
    <col min="4368" max="4608" width="9" style="213"/>
    <col min="4609" max="4609" width="4.28515625" style="213" customWidth="1"/>
    <col min="4610" max="4610" width="17.28515625" style="213" customWidth="1"/>
    <col min="4611" max="4616" width="9" style="213"/>
    <col min="4617" max="4617" width="7.7109375" style="213" customWidth="1"/>
    <col min="4618" max="4619" width="9" style="213"/>
    <col min="4620" max="4620" width="25" style="213" customWidth="1"/>
    <col min="4621" max="4621" width="10.28515625" style="213" customWidth="1"/>
    <col min="4622" max="4622" width="11" style="213" customWidth="1"/>
    <col min="4623" max="4623" width="12.7109375" style="213" customWidth="1"/>
    <col min="4624" max="4864" width="9" style="213"/>
    <col min="4865" max="4865" width="4.28515625" style="213" customWidth="1"/>
    <col min="4866" max="4866" width="17.28515625" style="213" customWidth="1"/>
    <col min="4867" max="4872" width="9" style="213"/>
    <col min="4873" max="4873" width="7.7109375" style="213" customWidth="1"/>
    <col min="4874" max="4875" width="9" style="213"/>
    <col min="4876" max="4876" width="25" style="213" customWidth="1"/>
    <col min="4877" max="4877" width="10.28515625" style="213" customWidth="1"/>
    <col min="4878" max="4878" width="11" style="213" customWidth="1"/>
    <col min="4879" max="4879" width="12.7109375" style="213" customWidth="1"/>
    <col min="4880" max="5120" width="9" style="213"/>
    <col min="5121" max="5121" width="4.28515625" style="213" customWidth="1"/>
    <col min="5122" max="5122" width="17.28515625" style="213" customWidth="1"/>
    <col min="5123" max="5128" width="9" style="213"/>
    <col min="5129" max="5129" width="7.7109375" style="213" customWidth="1"/>
    <col min="5130" max="5131" width="9" style="213"/>
    <col min="5132" max="5132" width="25" style="213" customWidth="1"/>
    <col min="5133" max="5133" width="10.28515625" style="213" customWidth="1"/>
    <col min="5134" max="5134" width="11" style="213" customWidth="1"/>
    <col min="5135" max="5135" width="12.7109375" style="213" customWidth="1"/>
    <col min="5136" max="5376" width="9" style="213"/>
    <col min="5377" max="5377" width="4.28515625" style="213" customWidth="1"/>
    <col min="5378" max="5378" width="17.28515625" style="213" customWidth="1"/>
    <col min="5379" max="5384" width="9" style="213"/>
    <col min="5385" max="5385" width="7.7109375" style="213" customWidth="1"/>
    <col min="5386" max="5387" width="9" style="213"/>
    <col min="5388" max="5388" width="25" style="213" customWidth="1"/>
    <col min="5389" max="5389" width="10.28515625" style="213" customWidth="1"/>
    <col min="5390" max="5390" width="11" style="213" customWidth="1"/>
    <col min="5391" max="5391" width="12.7109375" style="213" customWidth="1"/>
    <col min="5392" max="5632" width="9" style="213"/>
    <col min="5633" max="5633" width="4.28515625" style="213" customWidth="1"/>
    <col min="5634" max="5634" width="17.28515625" style="213" customWidth="1"/>
    <col min="5635" max="5640" width="9" style="213"/>
    <col min="5641" max="5641" width="7.7109375" style="213" customWidth="1"/>
    <col min="5642" max="5643" width="9" style="213"/>
    <col min="5644" max="5644" width="25" style="213" customWidth="1"/>
    <col min="5645" max="5645" width="10.28515625" style="213" customWidth="1"/>
    <col min="5646" max="5646" width="11" style="213" customWidth="1"/>
    <col min="5647" max="5647" width="12.7109375" style="213" customWidth="1"/>
    <col min="5648" max="5888" width="9" style="213"/>
    <col min="5889" max="5889" width="4.28515625" style="213" customWidth="1"/>
    <col min="5890" max="5890" width="17.28515625" style="213" customWidth="1"/>
    <col min="5891" max="5896" width="9" style="213"/>
    <col min="5897" max="5897" width="7.7109375" style="213" customWidth="1"/>
    <col min="5898" max="5899" width="9" style="213"/>
    <col min="5900" max="5900" width="25" style="213" customWidth="1"/>
    <col min="5901" max="5901" width="10.28515625" style="213" customWidth="1"/>
    <col min="5902" max="5902" width="11" style="213" customWidth="1"/>
    <col min="5903" max="5903" width="12.7109375" style="213" customWidth="1"/>
    <col min="5904" max="6144" width="9" style="213"/>
    <col min="6145" max="6145" width="4.28515625" style="213" customWidth="1"/>
    <col min="6146" max="6146" width="17.28515625" style="213" customWidth="1"/>
    <col min="6147" max="6152" width="9" style="213"/>
    <col min="6153" max="6153" width="7.7109375" style="213" customWidth="1"/>
    <col min="6154" max="6155" width="9" style="213"/>
    <col min="6156" max="6156" width="25" style="213" customWidth="1"/>
    <col min="6157" max="6157" width="10.28515625" style="213" customWidth="1"/>
    <col min="6158" max="6158" width="11" style="213" customWidth="1"/>
    <col min="6159" max="6159" width="12.7109375" style="213" customWidth="1"/>
    <col min="6160" max="6400" width="9" style="213"/>
    <col min="6401" max="6401" width="4.28515625" style="213" customWidth="1"/>
    <col min="6402" max="6402" width="17.28515625" style="213" customWidth="1"/>
    <col min="6403" max="6408" width="9" style="213"/>
    <col min="6409" max="6409" width="7.7109375" style="213" customWidth="1"/>
    <col min="6410" max="6411" width="9" style="213"/>
    <col min="6412" max="6412" width="25" style="213" customWidth="1"/>
    <col min="6413" max="6413" width="10.28515625" style="213" customWidth="1"/>
    <col min="6414" max="6414" width="11" style="213" customWidth="1"/>
    <col min="6415" max="6415" width="12.7109375" style="213" customWidth="1"/>
    <col min="6416" max="6656" width="9" style="213"/>
    <col min="6657" max="6657" width="4.28515625" style="213" customWidth="1"/>
    <col min="6658" max="6658" width="17.28515625" style="213" customWidth="1"/>
    <col min="6659" max="6664" width="9" style="213"/>
    <col min="6665" max="6665" width="7.7109375" style="213" customWidth="1"/>
    <col min="6666" max="6667" width="9" style="213"/>
    <col min="6668" max="6668" width="25" style="213" customWidth="1"/>
    <col min="6669" max="6669" width="10.28515625" style="213" customWidth="1"/>
    <col min="6670" max="6670" width="11" style="213" customWidth="1"/>
    <col min="6671" max="6671" width="12.7109375" style="213" customWidth="1"/>
    <col min="6672" max="6912" width="9" style="213"/>
    <col min="6913" max="6913" width="4.28515625" style="213" customWidth="1"/>
    <col min="6914" max="6914" width="17.28515625" style="213" customWidth="1"/>
    <col min="6915" max="6920" width="9" style="213"/>
    <col min="6921" max="6921" width="7.7109375" style="213" customWidth="1"/>
    <col min="6922" max="6923" width="9" style="213"/>
    <col min="6924" max="6924" width="25" style="213" customWidth="1"/>
    <col min="6925" max="6925" width="10.28515625" style="213" customWidth="1"/>
    <col min="6926" max="6926" width="11" style="213" customWidth="1"/>
    <col min="6927" max="6927" width="12.7109375" style="213" customWidth="1"/>
    <col min="6928" max="7168" width="9" style="213"/>
    <col min="7169" max="7169" width="4.28515625" style="213" customWidth="1"/>
    <col min="7170" max="7170" width="17.28515625" style="213" customWidth="1"/>
    <col min="7171" max="7176" width="9" style="213"/>
    <col min="7177" max="7177" width="7.7109375" style="213" customWidth="1"/>
    <col min="7178" max="7179" width="9" style="213"/>
    <col min="7180" max="7180" width="25" style="213" customWidth="1"/>
    <col min="7181" max="7181" width="10.28515625" style="213" customWidth="1"/>
    <col min="7182" max="7182" width="11" style="213" customWidth="1"/>
    <col min="7183" max="7183" width="12.7109375" style="213" customWidth="1"/>
    <col min="7184" max="7424" width="9" style="213"/>
    <col min="7425" max="7425" width="4.28515625" style="213" customWidth="1"/>
    <col min="7426" max="7426" width="17.28515625" style="213" customWidth="1"/>
    <col min="7427" max="7432" width="9" style="213"/>
    <col min="7433" max="7433" width="7.7109375" style="213" customWidth="1"/>
    <col min="7434" max="7435" width="9" style="213"/>
    <col min="7436" max="7436" width="25" style="213" customWidth="1"/>
    <col min="7437" max="7437" width="10.28515625" style="213" customWidth="1"/>
    <col min="7438" max="7438" width="11" style="213" customWidth="1"/>
    <col min="7439" max="7439" width="12.7109375" style="213" customWidth="1"/>
    <col min="7440" max="7680" width="9" style="213"/>
    <col min="7681" max="7681" width="4.28515625" style="213" customWidth="1"/>
    <col min="7682" max="7682" width="17.28515625" style="213" customWidth="1"/>
    <col min="7683" max="7688" width="9" style="213"/>
    <col min="7689" max="7689" width="7.7109375" style="213" customWidth="1"/>
    <col min="7690" max="7691" width="9" style="213"/>
    <col min="7692" max="7692" width="25" style="213" customWidth="1"/>
    <col min="7693" max="7693" width="10.28515625" style="213" customWidth="1"/>
    <col min="7694" max="7694" width="11" style="213" customWidth="1"/>
    <col min="7695" max="7695" width="12.7109375" style="213" customWidth="1"/>
    <col min="7696" max="7936" width="9" style="213"/>
    <col min="7937" max="7937" width="4.28515625" style="213" customWidth="1"/>
    <col min="7938" max="7938" width="17.28515625" style="213" customWidth="1"/>
    <col min="7939" max="7944" width="9" style="213"/>
    <col min="7945" max="7945" width="7.7109375" style="213" customWidth="1"/>
    <col min="7946" max="7947" width="9" style="213"/>
    <col min="7948" max="7948" width="25" style="213" customWidth="1"/>
    <col min="7949" max="7949" width="10.28515625" style="213" customWidth="1"/>
    <col min="7950" max="7950" width="11" style="213" customWidth="1"/>
    <col min="7951" max="7951" width="12.7109375" style="213" customWidth="1"/>
    <col min="7952" max="8192" width="9" style="213"/>
    <col min="8193" max="8193" width="4.28515625" style="213" customWidth="1"/>
    <col min="8194" max="8194" width="17.28515625" style="213" customWidth="1"/>
    <col min="8195" max="8200" width="9" style="213"/>
    <col min="8201" max="8201" width="7.7109375" style="213" customWidth="1"/>
    <col min="8202" max="8203" width="9" style="213"/>
    <col min="8204" max="8204" width="25" style="213" customWidth="1"/>
    <col min="8205" max="8205" width="10.28515625" style="213" customWidth="1"/>
    <col min="8206" max="8206" width="11" style="213" customWidth="1"/>
    <col min="8207" max="8207" width="12.7109375" style="213" customWidth="1"/>
    <col min="8208" max="8448" width="9" style="213"/>
    <col min="8449" max="8449" width="4.28515625" style="213" customWidth="1"/>
    <col min="8450" max="8450" width="17.28515625" style="213" customWidth="1"/>
    <col min="8451" max="8456" width="9" style="213"/>
    <col min="8457" max="8457" width="7.7109375" style="213" customWidth="1"/>
    <col min="8458" max="8459" width="9" style="213"/>
    <col min="8460" max="8460" width="25" style="213" customWidth="1"/>
    <col min="8461" max="8461" width="10.28515625" style="213" customWidth="1"/>
    <col min="8462" max="8462" width="11" style="213" customWidth="1"/>
    <col min="8463" max="8463" width="12.7109375" style="213" customWidth="1"/>
    <col min="8464" max="8704" width="9" style="213"/>
    <col min="8705" max="8705" width="4.28515625" style="213" customWidth="1"/>
    <col min="8706" max="8706" width="17.28515625" style="213" customWidth="1"/>
    <col min="8707" max="8712" width="9" style="213"/>
    <col min="8713" max="8713" width="7.7109375" style="213" customWidth="1"/>
    <col min="8714" max="8715" width="9" style="213"/>
    <col min="8716" max="8716" width="25" style="213" customWidth="1"/>
    <col min="8717" max="8717" width="10.28515625" style="213" customWidth="1"/>
    <col min="8718" max="8718" width="11" style="213" customWidth="1"/>
    <col min="8719" max="8719" width="12.7109375" style="213" customWidth="1"/>
    <col min="8720" max="8960" width="9" style="213"/>
    <col min="8961" max="8961" width="4.28515625" style="213" customWidth="1"/>
    <col min="8962" max="8962" width="17.28515625" style="213" customWidth="1"/>
    <col min="8963" max="8968" width="9" style="213"/>
    <col min="8969" max="8969" width="7.7109375" style="213" customWidth="1"/>
    <col min="8970" max="8971" width="9" style="213"/>
    <col min="8972" max="8972" width="25" style="213" customWidth="1"/>
    <col min="8973" max="8973" width="10.28515625" style="213" customWidth="1"/>
    <col min="8974" max="8974" width="11" style="213" customWidth="1"/>
    <col min="8975" max="8975" width="12.7109375" style="213" customWidth="1"/>
    <col min="8976" max="9216" width="9" style="213"/>
    <col min="9217" max="9217" width="4.28515625" style="213" customWidth="1"/>
    <col min="9218" max="9218" width="17.28515625" style="213" customWidth="1"/>
    <col min="9219" max="9224" width="9" style="213"/>
    <col min="9225" max="9225" width="7.7109375" style="213" customWidth="1"/>
    <col min="9226" max="9227" width="9" style="213"/>
    <col min="9228" max="9228" width="25" style="213" customWidth="1"/>
    <col min="9229" max="9229" width="10.28515625" style="213" customWidth="1"/>
    <col min="9230" max="9230" width="11" style="213" customWidth="1"/>
    <col min="9231" max="9231" width="12.7109375" style="213" customWidth="1"/>
    <col min="9232" max="9472" width="9" style="213"/>
    <col min="9473" max="9473" width="4.28515625" style="213" customWidth="1"/>
    <col min="9474" max="9474" width="17.28515625" style="213" customWidth="1"/>
    <col min="9475" max="9480" width="9" style="213"/>
    <col min="9481" max="9481" width="7.7109375" style="213" customWidth="1"/>
    <col min="9482" max="9483" width="9" style="213"/>
    <col min="9484" max="9484" width="25" style="213" customWidth="1"/>
    <col min="9485" max="9485" width="10.28515625" style="213" customWidth="1"/>
    <col min="9486" max="9486" width="11" style="213" customWidth="1"/>
    <col min="9487" max="9487" width="12.7109375" style="213" customWidth="1"/>
    <col min="9488" max="9728" width="9" style="213"/>
    <col min="9729" max="9729" width="4.28515625" style="213" customWidth="1"/>
    <col min="9730" max="9730" width="17.28515625" style="213" customWidth="1"/>
    <col min="9731" max="9736" width="9" style="213"/>
    <col min="9737" max="9737" width="7.7109375" style="213" customWidth="1"/>
    <col min="9738" max="9739" width="9" style="213"/>
    <col min="9740" max="9740" width="25" style="213" customWidth="1"/>
    <col min="9741" max="9741" width="10.28515625" style="213" customWidth="1"/>
    <col min="9742" max="9742" width="11" style="213" customWidth="1"/>
    <col min="9743" max="9743" width="12.7109375" style="213" customWidth="1"/>
    <col min="9744" max="9984" width="9" style="213"/>
    <col min="9985" max="9985" width="4.28515625" style="213" customWidth="1"/>
    <col min="9986" max="9986" width="17.28515625" style="213" customWidth="1"/>
    <col min="9987" max="9992" width="9" style="213"/>
    <col min="9993" max="9993" width="7.7109375" style="213" customWidth="1"/>
    <col min="9994" max="9995" width="9" style="213"/>
    <col min="9996" max="9996" width="25" style="213" customWidth="1"/>
    <col min="9997" max="9997" width="10.28515625" style="213" customWidth="1"/>
    <col min="9998" max="9998" width="11" style="213" customWidth="1"/>
    <col min="9999" max="9999" width="12.7109375" style="213" customWidth="1"/>
    <col min="10000" max="10240" width="9" style="213"/>
    <col min="10241" max="10241" width="4.28515625" style="213" customWidth="1"/>
    <col min="10242" max="10242" width="17.28515625" style="213" customWidth="1"/>
    <col min="10243" max="10248" width="9" style="213"/>
    <col min="10249" max="10249" width="7.7109375" style="213" customWidth="1"/>
    <col min="10250" max="10251" width="9" style="213"/>
    <col min="10252" max="10252" width="25" style="213" customWidth="1"/>
    <col min="10253" max="10253" width="10.28515625" style="213" customWidth="1"/>
    <col min="10254" max="10254" width="11" style="213" customWidth="1"/>
    <col min="10255" max="10255" width="12.7109375" style="213" customWidth="1"/>
    <col min="10256" max="10496" width="9" style="213"/>
    <col min="10497" max="10497" width="4.28515625" style="213" customWidth="1"/>
    <col min="10498" max="10498" width="17.28515625" style="213" customWidth="1"/>
    <col min="10499" max="10504" width="9" style="213"/>
    <col min="10505" max="10505" width="7.7109375" style="213" customWidth="1"/>
    <col min="10506" max="10507" width="9" style="213"/>
    <col min="10508" max="10508" width="25" style="213" customWidth="1"/>
    <col min="10509" max="10509" width="10.28515625" style="213" customWidth="1"/>
    <col min="10510" max="10510" width="11" style="213" customWidth="1"/>
    <col min="10511" max="10511" width="12.7109375" style="213" customWidth="1"/>
    <col min="10512" max="10752" width="9" style="213"/>
    <col min="10753" max="10753" width="4.28515625" style="213" customWidth="1"/>
    <col min="10754" max="10754" width="17.28515625" style="213" customWidth="1"/>
    <col min="10755" max="10760" width="9" style="213"/>
    <col min="10761" max="10761" width="7.7109375" style="213" customWidth="1"/>
    <col min="10762" max="10763" width="9" style="213"/>
    <col min="10764" max="10764" width="25" style="213" customWidth="1"/>
    <col min="10765" max="10765" width="10.28515625" style="213" customWidth="1"/>
    <col min="10766" max="10766" width="11" style="213" customWidth="1"/>
    <col min="10767" max="10767" width="12.7109375" style="213" customWidth="1"/>
    <col min="10768" max="11008" width="9" style="213"/>
    <col min="11009" max="11009" width="4.28515625" style="213" customWidth="1"/>
    <col min="11010" max="11010" width="17.28515625" style="213" customWidth="1"/>
    <col min="11011" max="11016" width="9" style="213"/>
    <col min="11017" max="11017" width="7.7109375" style="213" customWidth="1"/>
    <col min="11018" max="11019" width="9" style="213"/>
    <col min="11020" max="11020" width="25" style="213" customWidth="1"/>
    <col min="11021" max="11021" width="10.28515625" style="213" customWidth="1"/>
    <col min="11022" max="11022" width="11" style="213" customWidth="1"/>
    <col min="11023" max="11023" width="12.7109375" style="213" customWidth="1"/>
    <col min="11024" max="11264" width="9" style="213"/>
    <col min="11265" max="11265" width="4.28515625" style="213" customWidth="1"/>
    <col min="11266" max="11266" width="17.28515625" style="213" customWidth="1"/>
    <col min="11267" max="11272" width="9" style="213"/>
    <col min="11273" max="11273" width="7.7109375" style="213" customWidth="1"/>
    <col min="11274" max="11275" width="9" style="213"/>
    <col min="11276" max="11276" width="25" style="213" customWidth="1"/>
    <col min="11277" max="11277" width="10.28515625" style="213" customWidth="1"/>
    <col min="11278" max="11278" width="11" style="213" customWidth="1"/>
    <col min="11279" max="11279" width="12.7109375" style="213" customWidth="1"/>
    <col min="11280" max="11520" width="9" style="213"/>
    <col min="11521" max="11521" width="4.28515625" style="213" customWidth="1"/>
    <col min="11522" max="11522" width="17.28515625" style="213" customWidth="1"/>
    <col min="11523" max="11528" width="9" style="213"/>
    <col min="11529" max="11529" width="7.7109375" style="213" customWidth="1"/>
    <col min="11530" max="11531" width="9" style="213"/>
    <col min="11532" max="11532" width="25" style="213" customWidth="1"/>
    <col min="11533" max="11533" width="10.28515625" style="213" customWidth="1"/>
    <col min="11534" max="11534" width="11" style="213" customWidth="1"/>
    <col min="11535" max="11535" width="12.7109375" style="213" customWidth="1"/>
    <col min="11536" max="11776" width="9" style="213"/>
    <col min="11777" max="11777" width="4.28515625" style="213" customWidth="1"/>
    <col min="11778" max="11778" width="17.28515625" style="213" customWidth="1"/>
    <col min="11779" max="11784" width="9" style="213"/>
    <col min="11785" max="11785" width="7.7109375" style="213" customWidth="1"/>
    <col min="11786" max="11787" width="9" style="213"/>
    <col min="11788" max="11788" width="25" style="213" customWidth="1"/>
    <col min="11789" max="11789" width="10.28515625" style="213" customWidth="1"/>
    <col min="11790" max="11790" width="11" style="213" customWidth="1"/>
    <col min="11791" max="11791" width="12.7109375" style="213" customWidth="1"/>
    <col min="11792" max="12032" width="9" style="213"/>
    <col min="12033" max="12033" width="4.28515625" style="213" customWidth="1"/>
    <col min="12034" max="12034" width="17.28515625" style="213" customWidth="1"/>
    <col min="12035" max="12040" width="9" style="213"/>
    <col min="12041" max="12041" width="7.7109375" style="213" customWidth="1"/>
    <col min="12042" max="12043" width="9" style="213"/>
    <col min="12044" max="12044" width="25" style="213" customWidth="1"/>
    <col min="12045" max="12045" width="10.28515625" style="213" customWidth="1"/>
    <col min="12046" max="12046" width="11" style="213" customWidth="1"/>
    <col min="12047" max="12047" width="12.7109375" style="213" customWidth="1"/>
    <col min="12048" max="12288" width="9" style="213"/>
    <col min="12289" max="12289" width="4.28515625" style="213" customWidth="1"/>
    <col min="12290" max="12290" width="17.28515625" style="213" customWidth="1"/>
    <col min="12291" max="12296" width="9" style="213"/>
    <col min="12297" max="12297" width="7.7109375" style="213" customWidth="1"/>
    <col min="12298" max="12299" width="9" style="213"/>
    <col min="12300" max="12300" width="25" style="213" customWidth="1"/>
    <col min="12301" max="12301" width="10.28515625" style="213" customWidth="1"/>
    <col min="12302" max="12302" width="11" style="213" customWidth="1"/>
    <col min="12303" max="12303" width="12.7109375" style="213" customWidth="1"/>
    <col min="12304" max="12544" width="9" style="213"/>
    <col min="12545" max="12545" width="4.28515625" style="213" customWidth="1"/>
    <col min="12546" max="12546" width="17.28515625" style="213" customWidth="1"/>
    <col min="12547" max="12552" width="9" style="213"/>
    <col min="12553" max="12553" width="7.7109375" style="213" customWidth="1"/>
    <col min="12554" max="12555" width="9" style="213"/>
    <col min="12556" max="12556" width="25" style="213" customWidth="1"/>
    <col min="12557" max="12557" width="10.28515625" style="213" customWidth="1"/>
    <col min="12558" max="12558" width="11" style="213" customWidth="1"/>
    <col min="12559" max="12559" width="12.7109375" style="213" customWidth="1"/>
    <col min="12560" max="12800" width="9" style="213"/>
    <col min="12801" max="12801" width="4.28515625" style="213" customWidth="1"/>
    <col min="12802" max="12802" width="17.28515625" style="213" customWidth="1"/>
    <col min="12803" max="12808" width="9" style="213"/>
    <col min="12809" max="12809" width="7.7109375" style="213" customWidth="1"/>
    <col min="12810" max="12811" width="9" style="213"/>
    <col min="12812" max="12812" width="25" style="213" customWidth="1"/>
    <col min="12813" max="12813" width="10.28515625" style="213" customWidth="1"/>
    <col min="12814" max="12814" width="11" style="213" customWidth="1"/>
    <col min="12815" max="12815" width="12.7109375" style="213" customWidth="1"/>
    <col min="12816" max="13056" width="9" style="213"/>
    <col min="13057" max="13057" width="4.28515625" style="213" customWidth="1"/>
    <col min="13058" max="13058" width="17.28515625" style="213" customWidth="1"/>
    <col min="13059" max="13064" width="9" style="213"/>
    <col min="13065" max="13065" width="7.7109375" style="213" customWidth="1"/>
    <col min="13066" max="13067" width="9" style="213"/>
    <col min="13068" max="13068" width="25" style="213" customWidth="1"/>
    <col min="13069" max="13069" width="10.28515625" style="213" customWidth="1"/>
    <col min="13070" max="13070" width="11" style="213" customWidth="1"/>
    <col min="13071" max="13071" width="12.7109375" style="213" customWidth="1"/>
    <col min="13072" max="13312" width="9" style="213"/>
    <col min="13313" max="13313" width="4.28515625" style="213" customWidth="1"/>
    <col min="13314" max="13314" width="17.28515625" style="213" customWidth="1"/>
    <col min="13315" max="13320" width="9" style="213"/>
    <col min="13321" max="13321" width="7.7109375" style="213" customWidth="1"/>
    <col min="13322" max="13323" width="9" style="213"/>
    <col min="13324" max="13324" width="25" style="213" customWidth="1"/>
    <col min="13325" max="13325" width="10.28515625" style="213" customWidth="1"/>
    <col min="13326" max="13326" width="11" style="213" customWidth="1"/>
    <col min="13327" max="13327" width="12.7109375" style="213" customWidth="1"/>
    <col min="13328" max="13568" width="9" style="213"/>
    <col min="13569" max="13569" width="4.28515625" style="213" customWidth="1"/>
    <col min="13570" max="13570" width="17.28515625" style="213" customWidth="1"/>
    <col min="13571" max="13576" width="9" style="213"/>
    <col min="13577" max="13577" width="7.7109375" style="213" customWidth="1"/>
    <col min="13578" max="13579" width="9" style="213"/>
    <col min="13580" max="13580" width="25" style="213" customWidth="1"/>
    <col min="13581" max="13581" width="10.28515625" style="213" customWidth="1"/>
    <col min="13582" max="13582" width="11" style="213" customWidth="1"/>
    <col min="13583" max="13583" width="12.7109375" style="213" customWidth="1"/>
    <col min="13584" max="13824" width="9" style="213"/>
    <col min="13825" max="13825" width="4.28515625" style="213" customWidth="1"/>
    <col min="13826" max="13826" width="17.28515625" style="213" customWidth="1"/>
    <col min="13827" max="13832" width="9" style="213"/>
    <col min="13833" max="13833" width="7.7109375" style="213" customWidth="1"/>
    <col min="13834" max="13835" width="9" style="213"/>
    <col min="13836" max="13836" width="25" style="213" customWidth="1"/>
    <col min="13837" max="13837" width="10.28515625" style="213" customWidth="1"/>
    <col min="13838" max="13838" width="11" style="213" customWidth="1"/>
    <col min="13839" max="13839" width="12.7109375" style="213" customWidth="1"/>
    <col min="13840" max="14080" width="9" style="213"/>
    <col min="14081" max="14081" width="4.28515625" style="213" customWidth="1"/>
    <col min="14082" max="14082" width="17.28515625" style="213" customWidth="1"/>
    <col min="14083" max="14088" width="9" style="213"/>
    <col min="14089" max="14089" width="7.7109375" style="213" customWidth="1"/>
    <col min="14090" max="14091" width="9" style="213"/>
    <col min="14092" max="14092" width="25" style="213" customWidth="1"/>
    <col min="14093" max="14093" width="10.28515625" style="213" customWidth="1"/>
    <col min="14094" max="14094" width="11" style="213" customWidth="1"/>
    <col min="14095" max="14095" width="12.7109375" style="213" customWidth="1"/>
    <col min="14096" max="14336" width="9" style="213"/>
    <col min="14337" max="14337" width="4.28515625" style="213" customWidth="1"/>
    <col min="14338" max="14338" width="17.28515625" style="213" customWidth="1"/>
    <col min="14339" max="14344" width="9" style="213"/>
    <col min="14345" max="14345" width="7.7109375" style="213" customWidth="1"/>
    <col min="14346" max="14347" width="9" style="213"/>
    <col min="14348" max="14348" width="25" style="213" customWidth="1"/>
    <col min="14349" max="14349" width="10.28515625" style="213" customWidth="1"/>
    <col min="14350" max="14350" width="11" style="213" customWidth="1"/>
    <col min="14351" max="14351" width="12.7109375" style="213" customWidth="1"/>
    <col min="14352" max="14592" width="9" style="213"/>
    <col min="14593" max="14593" width="4.28515625" style="213" customWidth="1"/>
    <col min="14594" max="14594" width="17.28515625" style="213" customWidth="1"/>
    <col min="14595" max="14600" width="9" style="213"/>
    <col min="14601" max="14601" width="7.7109375" style="213" customWidth="1"/>
    <col min="14602" max="14603" width="9" style="213"/>
    <col min="14604" max="14604" width="25" style="213" customWidth="1"/>
    <col min="14605" max="14605" width="10.28515625" style="213" customWidth="1"/>
    <col min="14606" max="14606" width="11" style="213" customWidth="1"/>
    <col min="14607" max="14607" width="12.7109375" style="213" customWidth="1"/>
    <col min="14608" max="14848" width="9" style="213"/>
    <col min="14849" max="14849" width="4.28515625" style="213" customWidth="1"/>
    <col min="14850" max="14850" width="17.28515625" style="213" customWidth="1"/>
    <col min="14851" max="14856" width="9" style="213"/>
    <col min="14857" max="14857" width="7.7109375" style="213" customWidth="1"/>
    <col min="14858" max="14859" width="9" style="213"/>
    <col min="14860" max="14860" width="25" style="213" customWidth="1"/>
    <col min="14861" max="14861" width="10.28515625" style="213" customWidth="1"/>
    <col min="14862" max="14862" width="11" style="213" customWidth="1"/>
    <col min="14863" max="14863" width="12.7109375" style="213" customWidth="1"/>
    <col min="14864" max="15104" width="9" style="213"/>
    <col min="15105" max="15105" width="4.28515625" style="213" customWidth="1"/>
    <col min="15106" max="15106" width="17.28515625" style="213" customWidth="1"/>
    <col min="15107" max="15112" width="9" style="213"/>
    <col min="15113" max="15113" width="7.7109375" style="213" customWidth="1"/>
    <col min="15114" max="15115" width="9" style="213"/>
    <col min="15116" max="15116" width="25" style="213" customWidth="1"/>
    <col min="15117" max="15117" width="10.28515625" style="213" customWidth="1"/>
    <col min="15118" max="15118" width="11" style="213" customWidth="1"/>
    <col min="15119" max="15119" width="12.7109375" style="213" customWidth="1"/>
    <col min="15120" max="15360" width="9" style="213"/>
    <col min="15361" max="15361" width="4.28515625" style="213" customWidth="1"/>
    <col min="15362" max="15362" width="17.28515625" style="213" customWidth="1"/>
    <col min="15363" max="15368" width="9" style="213"/>
    <col min="15369" max="15369" width="7.7109375" style="213" customWidth="1"/>
    <col min="15370" max="15371" width="9" style="213"/>
    <col min="15372" max="15372" width="25" style="213" customWidth="1"/>
    <col min="15373" max="15373" width="10.28515625" style="213" customWidth="1"/>
    <col min="15374" max="15374" width="11" style="213" customWidth="1"/>
    <col min="15375" max="15375" width="12.7109375" style="213" customWidth="1"/>
    <col min="15376" max="15616" width="9" style="213"/>
    <col min="15617" max="15617" width="4.28515625" style="213" customWidth="1"/>
    <col min="15618" max="15618" width="17.28515625" style="213" customWidth="1"/>
    <col min="15619" max="15624" width="9" style="213"/>
    <col min="15625" max="15625" width="7.7109375" style="213" customWidth="1"/>
    <col min="15626" max="15627" width="9" style="213"/>
    <col min="15628" max="15628" width="25" style="213" customWidth="1"/>
    <col min="15629" max="15629" width="10.28515625" style="213" customWidth="1"/>
    <col min="15630" max="15630" width="11" style="213" customWidth="1"/>
    <col min="15631" max="15631" width="12.7109375" style="213" customWidth="1"/>
    <col min="15632" max="15872" width="9" style="213"/>
    <col min="15873" max="15873" width="4.28515625" style="213" customWidth="1"/>
    <col min="15874" max="15874" width="17.28515625" style="213" customWidth="1"/>
    <col min="15875" max="15880" width="9" style="213"/>
    <col min="15881" max="15881" width="7.7109375" style="213" customWidth="1"/>
    <col min="15882" max="15883" width="9" style="213"/>
    <col min="15884" max="15884" width="25" style="213" customWidth="1"/>
    <col min="15885" max="15885" width="10.28515625" style="213" customWidth="1"/>
    <col min="15886" max="15886" width="11" style="213" customWidth="1"/>
    <col min="15887" max="15887" width="12.7109375" style="213" customWidth="1"/>
    <col min="15888" max="16128" width="9" style="213"/>
    <col min="16129" max="16129" width="4.28515625" style="213" customWidth="1"/>
    <col min="16130" max="16130" width="17.28515625" style="213" customWidth="1"/>
    <col min="16131" max="16136" width="9" style="213"/>
    <col min="16137" max="16137" width="7.7109375" style="213" customWidth="1"/>
    <col min="16138" max="16139" width="9" style="213"/>
    <col min="16140" max="16140" width="25" style="213" customWidth="1"/>
    <col min="16141" max="16141" width="10.28515625" style="213" customWidth="1"/>
    <col min="16142" max="16142" width="11" style="213" customWidth="1"/>
    <col min="16143" max="16143" width="12.7109375" style="213" customWidth="1"/>
    <col min="16144" max="16384" width="9" style="213"/>
  </cols>
  <sheetData>
    <row r="1" spans="1:15" x14ac:dyDescent="0.2">
      <c r="A1" s="775" t="s">
        <v>304</v>
      </c>
      <c r="B1" s="775"/>
      <c r="C1" s="775"/>
      <c r="D1" s="775"/>
      <c r="E1" s="775"/>
      <c r="F1" s="775"/>
      <c r="G1" s="775"/>
      <c r="H1" s="775"/>
      <c r="I1" s="775"/>
    </row>
    <row r="2" spans="1:15" x14ac:dyDescent="0.2">
      <c r="A2" s="775" t="s">
        <v>305</v>
      </c>
      <c r="B2" s="775"/>
      <c r="C2" s="775"/>
      <c r="D2" s="775"/>
      <c r="E2" s="775"/>
      <c r="F2" s="775"/>
      <c r="G2" s="775"/>
      <c r="H2" s="775"/>
      <c r="I2" s="775"/>
    </row>
    <row r="3" spans="1:15" ht="15.75" x14ac:dyDescent="0.25">
      <c r="A3" s="775" t="str">
        <f>[1]Produksi!A3</f>
        <v xml:space="preserve">TAHUN </v>
      </c>
      <c r="B3" s="775"/>
      <c r="C3" s="775"/>
      <c r="D3" s="775"/>
      <c r="E3" s="775"/>
      <c r="F3" s="775"/>
      <c r="G3" s="775"/>
      <c r="H3" s="775"/>
      <c r="I3" s="775"/>
      <c r="L3" s="214" t="s">
        <v>306</v>
      </c>
      <c r="M3" s="214"/>
      <c r="N3" s="214"/>
      <c r="O3" s="214"/>
    </row>
    <row r="4" spans="1:15" ht="15.75" x14ac:dyDescent="0.25">
      <c r="A4" s="221" t="s">
        <v>327</v>
      </c>
      <c r="B4" s="222" t="s">
        <v>328</v>
      </c>
      <c r="C4" s="222" t="s">
        <v>329</v>
      </c>
      <c r="D4" s="222" t="s">
        <v>330</v>
      </c>
      <c r="E4" s="222" t="s">
        <v>331</v>
      </c>
      <c r="F4" s="222" t="s">
        <v>332</v>
      </c>
      <c r="G4" s="222" t="s">
        <v>333</v>
      </c>
      <c r="H4" s="222" t="s">
        <v>334</v>
      </c>
      <c r="I4" s="222" t="s">
        <v>335</v>
      </c>
      <c r="L4" s="215" t="s">
        <v>307</v>
      </c>
      <c r="M4" s="216"/>
      <c r="N4" s="216"/>
      <c r="O4" s="216"/>
    </row>
    <row r="5" spans="1:15" ht="15.75" x14ac:dyDescent="0.25">
      <c r="A5" s="224"/>
      <c r="B5" s="225" t="s">
        <v>336</v>
      </c>
      <c r="C5" s="225" t="s">
        <v>337</v>
      </c>
      <c r="D5" s="225"/>
      <c r="E5" s="225"/>
      <c r="F5" s="225"/>
      <c r="G5" s="225"/>
      <c r="H5" s="225"/>
      <c r="I5" s="225"/>
      <c r="L5" s="215" t="str">
        <f>A3</f>
        <v xml:space="preserve">TAHUN </v>
      </c>
      <c r="M5" s="216"/>
      <c r="N5" s="216"/>
      <c r="O5" s="216"/>
    </row>
    <row r="6" spans="1:15" x14ac:dyDescent="0.2">
      <c r="A6" s="228" t="s">
        <v>338</v>
      </c>
      <c r="B6" s="228" t="s">
        <v>316</v>
      </c>
      <c r="C6" s="229" t="e">
        <f>'Tabel NBM FINAL'!S12</f>
        <v>#REF!</v>
      </c>
      <c r="D6" s="230" t="e">
        <f>(C6/2400)*100</f>
        <v>#REF!</v>
      </c>
      <c r="E6" s="230">
        <v>0.5</v>
      </c>
      <c r="F6" s="231" t="e">
        <f>D6*E6</f>
        <v>#REF!</v>
      </c>
      <c r="G6" s="232" t="e">
        <f>IF(F6&gt;=H6,H6,F6)</f>
        <v>#REF!</v>
      </c>
      <c r="H6" s="230">
        <v>25</v>
      </c>
      <c r="I6" s="233"/>
      <c r="L6" s="776" t="s">
        <v>308</v>
      </c>
      <c r="M6" s="774" t="s">
        <v>309</v>
      </c>
      <c r="N6" s="774" t="s">
        <v>310</v>
      </c>
      <c r="O6" s="774" t="s">
        <v>311</v>
      </c>
    </row>
    <row r="7" spans="1:15" x14ac:dyDescent="0.2">
      <c r="A7" s="228" t="s">
        <v>339</v>
      </c>
      <c r="B7" s="228" t="s">
        <v>340</v>
      </c>
      <c r="C7" s="229" t="e">
        <f>'Tabel NBM FINAL'!S20+'Tabel NBM FINAL'!S85</f>
        <v>#REF!</v>
      </c>
      <c r="D7" s="230" t="e">
        <f t="shared" ref="D7:D14" si="0">(C7/2400)*100</f>
        <v>#REF!</v>
      </c>
      <c r="E7" s="230">
        <v>0.5</v>
      </c>
      <c r="F7" s="231" t="e">
        <f t="shared" ref="F7:F14" si="1">D7*E7</f>
        <v>#REF!</v>
      </c>
      <c r="G7" s="232" t="e">
        <f t="shared" ref="G7:G14" si="2">IF(F7&gt;=H7,H7,F7)</f>
        <v>#REF!</v>
      </c>
      <c r="H7" s="230">
        <v>2.5</v>
      </c>
      <c r="I7" s="233"/>
      <c r="L7" s="776"/>
      <c r="M7" s="774"/>
      <c r="N7" s="774"/>
      <c r="O7" s="774"/>
    </row>
    <row r="8" spans="1:15" ht="15.75" x14ac:dyDescent="0.2">
      <c r="A8" s="228" t="s">
        <v>341</v>
      </c>
      <c r="B8" s="228" t="s">
        <v>342</v>
      </c>
      <c r="C8" s="229" t="e">
        <f>'Tabel NBM FINAL'!S115+'Tabel NBM FINAL'!S128+'Tabel NBM FINAL'!S134+'Tabel NBM FINAL'!S138-'Tabel NBM FINAL'!S160-'Tabel NBM FINAL'!S126</f>
        <v>#REF!</v>
      </c>
      <c r="D8" s="230" t="e">
        <f t="shared" si="0"/>
        <v>#REF!</v>
      </c>
      <c r="E8" s="230">
        <v>2</v>
      </c>
      <c r="F8" s="231" t="e">
        <f t="shared" si="1"/>
        <v>#REF!</v>
      </c>
      <c r="G8" s="232" t="e">
        <f t="shared" si="2"/>
        <v>#REF!</v>
      </c>
      <c r="H8" s="230">
        <v>24</v>
      </c>
      <c r="I8" s="233"/>
      <c r="L8" s="218" t="s">
        <v>312</v>
      </c>
      <c r="M8" s="218" t="s">
        <v>313</v>
      </c>
      <c r="N8" s="218" t="s">
        <v>314</v>
      </c>
      <c r="O8" s="218" t="s">
        <v>315</v>
      </c>
    </row>
    <row r="9" spans="1:15" ht="15.75" x14ac:dyDescent="0.25">
      <c r="A9" s="228" t="s">
        <v>343</v>
      </c>
      <c r="B9" s="228" t="s">
        <v>326</v>
      </c>
      <c r="C9" s="229" t="e">
        <f>'Tabel NBM FINAL'!S174+'Tabel NBM FINAL'!S126</f>
        <v>#REF!</v>
      </c>
      <c r="D9" s="230" t="e">
        <f t="shared" si="0"/>
        <v>#REF!</v>
      </c>
      <c r="E9" s="230">
        <v>0.5</v>
      </c>
      <c r="F9" s="231" t="e">
        <f t="shared" si="1"/>
        <v>#REF!</v>
      </c>
      <c r="G9" s="232" t="e">
        <f t="shared" si="2"/>
        <v>#REF!</v>
      </c>
      <c r="H9" s="230">
        <v>5</v>
      </c>
      <c r="I9" s="233"/>
      <c r="L9" s="217"/>
      <c r="M9" s="219"/>
      <c r="N9" s="219"/>
      <c r="O9" s="219"/>
    </row>
    <row r="10" spans="1:15" ht="15.75" x14ac:dyDescent="0.25">
      <c r="A10" s="228" t="s">
        <v>345</v>
      </c>
      <c r="B10" s="228" t="s">
        <v>346</v>
      </c>
      <c r="C10" s="229" t="e">
        <f>'Tabel NBM FINAL'!S35</f>
        <v>#REF!</v>
      </c>
      <c r="D10" s="230" t="e">
        <f t="shared" si="0"/>
        <v>#REF!</v>
      </c>
      <c r="E10" s="230">
        <v>0.5</v>
      </c>
      <c r="F10" s="231" t="e">
        <f t="shared" si="1"/>
        <v>#REF!</v>
      </c>
      <c r="G10" s="232" t="e">
        <f t="shared" si="2"/>
        <v>#REF!</v>
      </c>
      <c r="H10" s="230">
        <v>1</v>
      </c>
      <c r="I10" s="233"/>
      <c r="L10" s="219" t="s">
        <v>316</v>
      </c>
      <c r="M10" s="220" t="e">
        <f>'Tabel NBM FINAL'!S12</f>
        <v>#REF!</v>
      </c>
      <c r="N10" s="220" t="e">
        <f>'Tabel NBM FINAL'!T12</f>
        <v>#REF!</v>
      </c>
      <c r="O10" s="220" t="e">
        <f>'Tabel NBM FINAL'!U12</f>
        <v>#REF!</v>
      </c>
    </row>
    <row r="11" spans="1:15" ht="15.75" x14ac:dyDescent="0.25">
      <c r="A11" s="228" t="s">
        <v>348</v>
      </c>
      <c r="B11" s="228" t="s">
        <v>349</v>
      </c>
      <c r="C11" s="229" t="e">
        <f>'Tabel NBM FINAL'!S29-'Tabel NBM FINAL'!S35+'Tabel NBM FINAL'!S83</f>
        <v>#REF!</v>
      </c>
      <c r="D11" s="230" t="e">
        <f t="shared" si="0"/>
        <v>#REF!</v>
      </c>
      <c r="E11" s="230">
        <v>2</v>
      </c>
      <c r="F11" s="231" t="e">
        <f t="shared" si="1"/>
        <v>#REF!</v>
      </c>
      <c r="G11" s="232" t="e">
        <f t="shared" si="2"/>
        <v>#REF!</v>
      </c>
      <c r="H11" s="230">
        <v>10</v>
      </c>
      <c r="I11" s="233"/>
      <c r="L11" s="219" t="s">
        <v>317</v>
      </c>
      <c r="M11" s="220" t="e">
        <f>'Tabel NBM FINAL'!S20</f>
        <v>#REF!</v>
      </c>
      <c r="N11" s="220" t="e">
        <f>'Tabel NBM FINAL'!T20</f>
        <v>#REF!</v>
      </c>
      <c r="O11" s="220" t="e">
        <f>'Tabel NBM FINAL'!U20</f>
        <v>#REF!</v>
      </c>
    </row>
    <row r="12" spans="1:15" ht="15.75" x14ac:dyDescent="0.25">
      <c r="A12" s="228" t="s">
        <v>350</v>
      </c>
      <c r="B12" s="228" t="s">
        <v>318</v>
      </c>
      <c r="C12" s="229" t="e">
        <f>'Tabel NBM FINAL'!S25</f>
        <v>#REF!</v>
      </c>
      <c r="D12" s="230" t="e">
        <f t="shared" si="0"/>
        <v>#REF!</v>
      </c>
      <c r="E12" s="230">
        <v>0.5</v>
      </c>
      <c r="F12" s="231" t="e">
        <f t="shared" si="1"/>
        <v>#REF!</v>
      </c>
      <c r="G12" s="232" t="e">
        <f t="shared" si="2"/>
        <v>#REF!</v>
      </c>
      <c r="H12" s="230">
        <v>2.5</v>
      </c>
      <c r="I12" s="233"/>
      <c r="L12" s="219" t="s">
        <v>318</v>
      </c>
      <c r="M12" s="220" t="e">
        <f>'Tabel NBM FINAL'!S25</f>
        <v>#REF!</v>
      </c>
      <c r="N12" s="220" t="e">
        <f>'Tabel NBM FINAL'!T25</f>
        <v>#REF!</v>
      </c>
      <c r="O12" s="220" t="e">
        <f>'Tabel NBM FINAL'!U25</f>
        <v>#REF!</v>
      </c>
    </row>
    <row r="13" spans="1:15" ht="15.75" x14ac:dyDescent="0.25">
      <c r="A13" s="228" t="s">
        <v>351</v>
      </c>
      <c r="B13" s="228" t="s">
        <v>352</v>
      </c>
      <c r="C13" s="229" t="e">
        <f>'Tabel NBM FINAL'!S29+'Tabel NBM FINAL'!S38-'Tabel NBM FINAL'!S83+'Tabel NBM FINAL'!S160-'Tabel NBM FINAL'!S85</f>
        <v>#REF!</v>
      </c>
      <c r="D13" s="230" t="e">
        <f t="shared" si="0"/>
        <v>#REF!</v>
      </c>
      <c r="E13" s="230">
        <v>5</v>
      </c>
      <c r="F13" s="231" t="e">
        <f t="shared" si="1"/>
        <v>#REF!</v>
      </c>
      <c r="G13" s="232" t="e">
        <f t="shared" si="2"/>
        <v>#REF!</v>
      </c>
      <c r="H13" s="230">
        <v>30</v>
      </c>
      <c r="I13" s="233"/>
      <c r="L13" s="219" t="s">
        <v>319</v>
      </c>
      <c r="M13" s="220" t="e">
        <f>'Tabel NBM FINAL'!S29</f>
        <v>#REF!</v>
      </c>
      <c r="N13" s="220" t="e">
        <f>'Tabel NBM FINAL'!T29</f>
        <v>#REF!</v>
      </c>
      <c r="O13" s="220" t="e">
        <f>'Tabel NBM FINAL'!U29</f>
        <v>#REF!</v>
      </c>
    </row>
    <row r="14" spans="1:15" ht="15.75" x14ac:dyDescent="0.25">
      <c r="A14" s="228" t="s">
        <v>353</v>
      </c>
      <c r="B14" s="228" t="s">
        <v>354</v>
      </c>
      <c r="C14" s="229"/>
      <c r="D14" s="230">
        <f t="shared" si="0"/>
        <v>0</v>
      </c>
      <c r="E14" s="230">
        <v>0</v>
      </c>
      <c r="F14" s="231">
        <f t="shared" si="1"/>
        <v>0</v>
      </c>
      <c r="G14" s="232">
        <f t="shared" si="2"/>
        <v>0</v>
      </c>
      <c r="H14" s="230">
        <v>0</v>
      </c>
      <c r="I14" s="234"/>
      <c r="L14" s="219" t="s">
        <v>320</v>
      </c>
      <c r="M14" s="220" t="e">
        <f>'Tabel NBM FINAL'!S38</f>
        <v>#REF!</v>
      </c>
      <c r="N14" s="220" t="e">
        <f>'Tabel NBM FINAL'!T38</f>
        <v>#REF!</v>
      </c>
      <c r="O14" s="220" t="e">
        <f>'Tabel NBM FINAL'!U38</f>
        <v>#REF!</v>
      </c>
    </row>
    <row r="15" spans="1:15" ht="15.75" x14ac:dyDescent="0.25">
      <c r="A15" s="228"/>
      <c r="B15" s="228" t="s">
        <v>355</v>
      </c>
      <c r="C15" s="229" t="e">
        <f>SUM(C6:C14)</f>
        <v>#REF!</v>
      </c>
      <c r="D15" s="235" t="e">
        <f>SUM(D6:D14)</f>
        <v>#REF!</v>
      </c>
      <c r="E15" s="236"/>
      <c r="F15" s="231" t="e">
        <f>SUM(F6:F14)</f>
        <v>#REF!</v>
      </c>
      <c r="G15" s="237" t="e">
        <f>SUM(G6:G14)</f>
        <v>#REF!</v>
      </c>
      <c r="H15" s="238">
        <f>SUM(H6:H14)</f>
        <v>100</v>
      </c>
      <c r="I15" s="238"/>
      <c r="L15" s="219" t="s">
        <v>321</v>
      </c>
      <c r="M15" s="220" t="e">
        <f>'Tabel NBM FINAL'!S80</f>
        <v>#REF!</v>
      </c>
      <c r="N15" s="220" t="e">
        <f>'Tabel NBM FINAL'!T80</f>
        <v>#REF!</v>
      </c>
      <c r="O15" s="220" t="e">
        <f>'Tabel NBM FINAL'!U80</f>
        <v>#REF!</v>
      </c>
    </row>
    <row r="16" spans="1:15" ht="15.75" x14ac:dyDescent="0.25">
      <c r="A16" s="257"/>
      <c r="B16" s="257"/>
      <c r="C16" s="257"/>
      <c r="D16" s="257"/>
      <c r="E16" s="257"/>
      <c r="F16" s="257"/>
      <c r="G16" s="257"/>
      <c r="H16" s="257"/>
      <c r="I16" s="257"/>
      <c r="L16" s="219" t="s">
        <v>322</v>
      </c>
      <c r="M16" s="220" t="e">
        <f>'Tabel NBM FINAL'!S115</f>
        <v>#REF!</v>
      </c>
      <c r="N16" s="220" t="e">
        <f>'Tabel NBM FINAL'!T115</f>
        <v>#REF!</v>
      </c>
      <c r="O16" s="220" t="e">
        <f>'Tabel NBM FINAL'!U115</f>
        <v>#REF!</v>
      </c>
    </row>
    <row r="17" spans="1:15" ht="15.75" x14ac:dyDescent="0.25">
      <c r="A17" s="257"/>
      <c r="B17" s="213" t="s">
        <v>356</v>
      </c>
      <c r="C17" s="257"/>
      <c r="D17" s="257"/>
      <c r="E17" s="257"/>
      <c r="F17" s="257"/>
      <c r="G17" s="257"/>
      <c r="H17" s="257"/>
      <c r="I17" s="257"/>
      <c r="L17" s="219" t="s">
        <v>323</v>
      </c>
      <c r="M17" s="220" t="e">
        <f>'Tabel NBM FINAL'!S128</f>
        <v>#REF!</v>
      </c>
      <c r="N17" s="220" t="e">
        <f>'Tabel NBM FINAL'!T128</f>
        <v>#REF!</v>
      </c>
      <c r="O17" s="220" t="e">
        <f>'Tabel NBM FINAL'!U128</f>
        <v>#REF!</v>
      </c>
    </row>
    <row r="18" spans="1:15" ht="15.75" x14ac:dyDescent="0.25">
      <c r="A18" s="257"/>
      <c r="B18" s="257"/>
      <c r="C18" s="257"/>
      <c r="D18" s="257"/>
      <c r="E18" s="257"/>
      <c r="F18" s="257"/>
      <c r="G18" s="257"/>
      <c r="H18" s="257"/>
      <c r="I18" s="257"/>
      <c r="L18" s="219" t="s">
        <v>324</v>
      </c>
      <c r="M18" s="220" t="e">
        <f>'Tabel NBM FINAL'!S134</f>
        <v>#REF!</v>
      </c>
      <c r="N18" s="220" t="e">
        <f>'Tabel NBM FINAL'!T134</f>
        <v>#REF!</v>
      </c>
      <c r="O18" s="220" t="e">
        <f>'Tabel NBM FINAL'!U134</f>
        <v>#REF!</v>
      </c>
    </row>
    <row r="19" spans="1:15" ht="15.75" x14ac:dyDescent="0.25">
      <c r="L19" s="219" t="s">
        <v>325</v>
      </c>
      <c r="M19" s="220" t="e">
        <f>'Tabel NBM FINAL'!S138</f>
        <v>#REF!</v>
      </c>
      <c r="N19" s="220" t="e">
        <f>'Tabel NBM FINAL'!T138</f>
        <v>#REF!</v>
      </c>
      <c r="O19" s="220" t="e">
        <f>'Tabel NBM FINAL'!U138</f>
        <v>#REF!</v>
      </c>
    </row>
    <row r="20" spans="1:15" ht="15.75" x14ac:dyDescent="0.25">
      <c r="L20" s="219" t="s">
        <v>326</v>
      </c>
      <c r="M20" s="220" t="e">
        <f>'Tabel NBM FINAL'!S174</f>
        <v>#REF!</v>
      </c>
      <c r="N20" s="220" t="e">
        <f>'Tabel NBM FINAL'!T174</f>
        <v>#REF!</v>
      </c>
      <c r="O20" s="220" t="e">
        <f>'Tabel NBM FINAL'!U174</f>
        <v>#REF!</v>
      </c>
    </row>
    <row r="21" spans="1:15" x14ac:dyDescent="0.2">
      <c r="N21" s="223"/>
      <c r="O21" s="223"/>
    </row>
    <row r="22" spans="1:15" x14ac:dyDescent="0.2">
      <c r="L22" s="226" t="s">
        <v>300</v>
      </c>
      <c r="M22" s="227" t="e">
        <f>SUM(M10:M20)</f>
        <v>#REF!</v>
      </c>
      <c r="N22" s="227" t="e">
        <f>SUM(N10:N20)</f>
        <v>#REF!</v>
      </c>
      <c r="O22" s="227" t="e">
        <f>SUM(O10:O20)</f>
        <v>#REF!</v>
      </c>
    </row>
    <row r="23" spans="1:15" x14ac:dyDescent="0.2">
      <c r="L23" s="226" t="s">
        <v>302</v>
      </c>
      <c r="M23" s="227" t="e">
        <f>'Tabel NBM FINAL'!S192</f>
        <v>#REF!</v>
      </c>
      <c r="N23" s="227" t="e">
        <f>'Tabel NBM FINAL'!T192</f>
        <v>#REF!</v>
      </c>
      <c r="O23" s="227" t="e">
        <f>'Tabel NBM FINAL'!U192</f>
        <v>#REF!</v>
      </c>
    </row>
    <row r="24" spans="1:15" x14ac:dyDescent="0.2">
      <c r="L24" s="226" t="s">
        <v>303</v>
      </c>
      <c r="M24" s="227" t="e">
        <f>'Tabel NBM FINAL'!S194</f>
        <v>#REF!</v>
      </c>
      <c r="N24" s="227" t="e">
        <f>'Tabel NBM FINAL'!T194</f>
        <v>#REF!</v>
      </c>
      <c r="O24" s="227" t="e">
        <f>'Tabel NBM FINAL'!U194</f>
        <v>#REF!</v>
      </c>
    </row>
    <row r="26" spans="1:15" x14ac:dyDescent="0.2">
      <c r="L26" s="213" t="s">
        <v>344</v>
      </c>
    </row>
    <row r="27" spans="1:15" x14ac:dyDescent="0.2">
      <c r="L27" s="213" t="s">
        <v>347</v>
      </c>
    </row>
    <row r="29" spans="1:15" ht="15" x14ac:dyDescent="0.25">
      <c r="K29"/>
      <c r="L29"/>
      <c r="M29"/>
      <c r="N29"/>
      <c r="O29"/>
    </row>
    <row r="30" spans="1:15" ht="15" x14ac:dyDescent="0.25">
      <c r="K30"/>
      <c r="L30"/>
      <c r="M30"/>
      <c r="N30"/>
      <c r="O30"/>
    </row>
    <row r="31" spans="1:15" ht="15" x14ac:dyDescent="0.25">
      <c r="K31"/>
      <c r="L31"/>
      <c r="M31"/>
      <c r="N31"/>
      <c r="O31"/>
    </row>
    <row r="32" spans="1:15" ht="15" x14ac:dyDescent="0.25">
      <c r="K32"/>
      <c r="L32"/>
      <c r="M32"/>
      <c r="N32"/>
      <c r="O32"/>
    </row>
    <row r="33" spans="11:15" ht="15" x14ac:dyDescent="0.25">
      <c r="K33"/>
      <c r="L33"/>
      <c r="M33"/>
      <c r="N33"/>
      <c r="O33"/>
    </row>
    <row r="34" spans="11:15" ht="15" x14ac:dyDescent="0.25">
      <c r="K34"/>
      <c r="L34"/>
      <c r="M34"/>
      <c r="N34"/>
      <c r="O34"/>
    </row>
    <row r="35" spans="11:15" ht="15" x14ac:dyDescent="0.25">
      <c r="K35"/>
      <c r="L35"/>
      <c r="M35"/>
      <c r="N35"/>
      <c r="O35"/>
    </row>
    <row r="36" spans="11:15" ht="15" x14ac:dyDescent="0.25">
      <c r="K36"/>
      <c r="L36"/>
      <c r="M36"/>
      <c r="N36"/>
      <c r="O36"/>
    </row>
    <row r="37" spans="11:15" ht="15" x14ac:dyDescent="0.25">
      <c r="K37"/>
      <c r="L37"/>
      <c r="M37"/>
      <c r="N37"/>
      <c r="O37"/>
    </row>
    <row r="38" spans="11:15" ht="15" x14ac:dyDescent="0.25">
      <c r="K38"/>
      <c r="L38"/>
      <c r="M38"/>
      <c r="N38"/>
      <c r="O38"/>
    </row>
    <row r="39" spans="11:15" ht="15" x14ac:dyDescent="0.25">
      <c r="K39"/>
      <c r="L39"/>
      <c r="M39"/>
      <c r="N39"/>
      <c r="O39"/>
    </row>
    <row r="40" spans="11:15" ht="15" x14ac:dyDescent="0.25">
      <c r="K40"/>
      <c r="L40"/>
      <c r="M40"/>
      <c r="N40"/>
      <c r="O40"/>
    </row>
    <row r="41" spans="11:15" ht="15" x14ac:dyDescent="0.25">
      <c r="K41"/>
      <c r="L41"/>
      <c r="M41"/>
      <c r="N41"/>
      <c r="O41"/>
    </row>
    <row r="42" spans="11:15" ht="15" x14ac:dyDescent="0.25">
      <c r="K42"/>
      <c r="L42"/>
      <c r="M42"/>
      <c r="N42"/>
      <c r="O42"/>
    </row>
  </sheetData>
  <mergeCells count="7">
    <mergeCell ref="O6:O7"/>
    <mergeCell ref="A1:I1"/>
    <mergeCell ref="A2:I2"/>
    <mergeCell ref="A3:I3"/>
    <mergeCell ref="L6:L7"/>
    <mergeCell ref="M6:M7"/>
    <mergeCell ref="N6:N7"/>
  </mergeCells>
  <pageMargins left="0.69930555555555596" right="0.69930555555555596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"/>
  <sheetViews>
    <sheetView topLeftCell="B151" workbookViewId="0">
      <selection activeCell="D7" sqref="D7:D182"/>
    </sheetView>
  </sheetViews>
  <sheetFormatPr defaultColWidth="8.85546875" defaultRowHeight="11.25" x14ac:dyDescent="0.2"/>
  <cols>
    <col min="1" max="1" width="2.7109375" style="22" customWidth="1"/>
    <col min="2" max="2" width="31" style="22" bestFit="1" customWidth="1"/>
    <col min="3" max="3" width="17" style="22" customWidth="1"/>
    <col min="4" max="4" width="16.28515625" style="22" customWidth="1"/>
    <col min="5" max="5" width="11.85546875" style="22" customWidth="1"/>
    <col min="6" max="6" width="19.28515625" style="22" bestFit="1" customWidth="1"/>
    <col min="7" max="7" width="28.28515625" style="22" customWidth="1"/>
    <col min="8" max="16384" width="8.85546875" style="22"/>
  </cols>
  <sheetData>
    <row r="1" spans="1:7" x14ac:dyDescent="0.2">
      <c r="A1" s="777" t="s">
        <v>216</v>
      </c>
      <c r="B1" s="777"/>
      <c r="C1" s="777"/>
      <c r="D1" s="777"/>
      <c r="E1" s="777"/>
      <c r="F1" s="777"/>
    </row>
    <row r="2" spans="1:7" x14ac:dyDescent="0.2">
      <c r="A2" s="777" t="s">
        <v>1</v>
      </c>
      <c r="B2" s="777"/>
      <c r="C2" s="777"/>
      <c r="D2" s="777"/>
      <c r="E2" s="777"/>
      <c r="F2" s="777"/>
    </row>
    <row r="4" spans="1:7" ht="14.45" customHeight="1" x14ac:dyDescent="0.2">
      <c r="A4" s="778" t="s">
        <v>48</v>
      </c>
      <c r="B4" s="778"/>
      <c r="C4" s="778" t="s">
        <v>224</v>
      </c>
      <c r="D4" s="778" t="s">
        <v>217</v>
      </c>
      <c r="E4" s="778" t="s">
        <v>218</v>
      </c>
      <c r="F4" s="778" t="s">
        <v>169</v>
      </c>
      <c r="G4" s="50"/>
    </row>
    <row r="5" spans="1:7" ht="14.45" customHeight="1" x14ac:dyDescent="0.2">
      <c r="A5" s="779" t="s">
        <v>49</v>
      </c>
      <c r="B5" s="779"/>
      <c r="C5" s="778"/>
      <c r="D5" s="778"/>
      <c r="E5" s="778"/>
      <c r="F5" s="778"/>
      <c r="G5" s="50"/>
    </row>
    <row r="6" spans="1:7" x14ac:dyDescent="0.2">
      <c r="A6" s="1" t="s">
        <v>50</v>
      </c>
      <c r="B6" s="2"/>
      <c r="C6" s="51"/>
    </row>
    <row r="7" spans="1:7" x14ac:dyDescent="0.2">
      <c r="A7" s="39"/>
      <c r="B7" s="40" t="s">
        <v>172</v>
      </c>
      <c r="C7" s="53" t="e">
        <f>Produksi!#REF!</f>
        <v>#REF!</v>
      </c>
      <c r="D7" s="22">
        <v>0.09</v>
      </c>
      <c r="E7" s="22" t="e">
        <f t="shared" ref="E7:E38" si="0">C7*D7</f>
        <v>#REF!</v>
      </c>
    </row>
    <row r="8" spans="1:7" x14ac:dyDescent="0.2">
      <c r="A8" s="23"/>
      <c r="B8" s="3" t="s">
        <v>168</v>
      </c>
      <c r="C8" s="53">
        <f>Produksi!F8</f>
        <v>16998.060199717966</v>
      </c>
      <c r="E8" s="22">
        <f t="shared" si="0"/>
        <v>0</v>
      </c>
    </row>
    <row r="9" spans="1:7" x14ac:dyDescent="0.2">
      <c r="A9" s="24"/>
      <c r="B9" s="4" t="s">
        <v>225</v>
      </c>
      <c r="C9" s="59"/>
      <c r="D9" s="22">
        <v>0.02</v>
      </c>
      <c r="E9" s="22">
        <f t="shared" si="0"/>
        <v>0</v>
      </c>
      <c r="F9" s="22" t="s">
        <v>226</v>
      </c>
    </row>
    <row r="10" spans="1:7" x14ac:dyDescent="0.2">
      <c r="A10" s="23"/>
      <c r="B10" s="3" t="s">
        <v>52</v>
      </c>
      <c r="C10" s="53" t="e">
        <f>Produksi!#REF!</f>
        <v>#REF!</v>
      </c>
      <c r="E10" s="22" t="e">
        <f t="shared" si="0"/>
        <v>#REF!</v>
      </c>
    </row>
    <row r="11" spans="1:7" x14ac:dyDescent="0.2">
      <c r="A11" s="24"/>
      <c r="B11" s="4" t="s">
        <v>53</v>
      </c>
      <c r="C11" s="53">
        <f>Produksi!F12</f>
        <v>0</v>
      </c>
      <c r="E11" s="22">
        <f t="shared" si="0"/>
        <v>0</v>
      </c>
    </row>
    <row r="12" spans="1:7" x14ac:dyDescent="0.2">
      <c r="A12" s="23"/>
      <c r="B12" s="3" t="s">
        <v>54</v>
      </c>
      <c r="C12" s="53">
        <f>Produksi!F13</f>
        <v>0</v>
      </c>
      <c r="E12" s="22">
        <f t="shared" si="0"/>
        <v>0</v>
      </c>
    </row>
    <row r="13" spans="1:7" x14ac:dyDescent="0.2">
      <c r="A13" s="23"/>
      <c r="B13" s="4"/>
      <c r="C13" s="53">
        <f>Produksi!F14</f>
        <v>0</v>
      </c>
      <c r="E13" s="22">
        <f t="shared" si="0"/>
        <v>0</v>
      </c>
    </row>
    <row r="14" spans="1:7" x14ac:dyDescent="0.2">
      <c r="A14" s="5" t="s">
        <v>55</v>
      </c>
      <c r="B14" s="3"/>
      <c r="C14" s="53">
        <f>Produksi!F15</f>
        <v>0</v>
      </c>
      <c r="E14" s="22">
        <f t="shared" si="0"/>
        <v>0</v>
      </c>
    </row>
    <row r="15" spans="1:7" x14ac:dyDescent="0.2">
      <c r="A15" s="24"/>
      <c r="B15" s="4" t="s">
        <v>56</v>
      </c>
      <c r="C15" s="53">
        <f>Produksi!F16</f>
        <v>0</v>
      </c>
      <c r="E15" s="22">
        <f t="shared" si="0"/>
        <v>0</v>
      </c>
    </row>
    <row r="16" spans="1:7" x14ac:dyDescent="0.2">
      <c r="A16" s="24"/>
      <c r="B16" s="4" t="s">
        <v>57</v>
      </c>
      <c r="C16" s="53">
        <f>Produksi!F18</f>
        <v>163</v>
      </c>
      <c r="E16" s="22">
        <f t="shared" si="0"/>
        <v>0</v>
      </c>
    </row>
    <row r="17" spans="1:6" x14ac:dyDescent="0.2">
      <c r="A17" s="23"/>
      <c r="B17" s="3" t="s">
        <v>58</v>
      </c>
      <c r="C17" s="53">
        <f>Produksi!F19</f>
        <v>0</v>
      </c>
      <c r="E17" s="22">
        <f t="shared" si="0"/>
        <v>0</v>
      </c>
    </row>
    <row r="18" spans="1:6" x14ac:dyDescent="0.2">
      <c r="A18" s="23"/>
      <c r="B18" s="3"/>
      <c r="C18" s="53">
        <f>Produksi!F25</f>
        <v>0</v>
      </c>
      <c r="E18" s="22">
        <f t="shared" si="0"/>
        <v>0</v>
      </c>
    </row>
    <row r="19" spans="1:6" x14ac:dyDescent="0.2">
      <c r="A19" s="6" t="s">
        <v>59</v>
      </c>
      <c r="B19" s="4"/>
      <c r="C19" s="53">
        <f>Produksi!F26</f>
        <v>0</v>
      </c>
      <c r="E19" s="22">
        <f t="shared" si="0"/>
        <v>0</v>
      </c>
    </row>
    <row r="20" spans="1:6" x14ac:dyDescent="0.2">
      <c r="A20" s="24"/>
      <c r="B20" s="4" t="s">
        <v>60</v>
      </c>
      <c r="C20" s="53">
        <f>Produksi!F27</f>
        <v>0</v>
      </c>
      <c r="E20" s="22">
        <f t="shared" si="0"/>
        <v>0</v>
      </c>
    </row>
    <row r="21" spans="1:6" x14ac:dyDescent="0.2">
      <c r="A21" s="24"/>
      <c r="B21" s="4" t="s">
        <v>61</v>
      </c>
      <c r="C21" s="53">
        <f>Produksi!F30</f>
        <v>0</v>
      </c>
      <c r="E21" s="22">
        <f t="shared" si="0"/>
        <v>0</v>
      </c>
    </row>
    <row r="22" spans="1:6" x14ac:dyDescent="0.2">
      <c r="A22" s="23"/>
      <c r="B22" s="4"/>
      <c r="C22" s="53">
        <f>Produksi!F31</f>
        <v>0</v>
      </c>
      <c r="E22" s="22">
        <f t="shared" si="0"/>
        <v>0</v>
      </c>
    </row>
    <row r="23" spans="1:6" x14ac:dyDescent="0.2">
      <c r="A23" s="7" t="s">
        <v>2</v>
      </c>
      <c r="B23" s="8"/>
      <c r="C23" s="53">
        <f>Produksi!F32</f>
        <v>0</v>
      </c>
      <c r="E23" s="22">
        <f t="shared" si="0"/>
        <v>0</v>
      </c>
    </row>
    <row r="24" spans="1:6" x14ac:dyDescent="0.2">
      <c r="A24" s="6"/>
      <c r="B24" s="9" t="s">
        <v>3</v>
      </c>
      <c r="C24" s="53">
        <f>Produksi!F33</f>
        <v>0</v>
      </c>
      <c r="E24" s="22">
        <f t="shared" si="0"/>
        <v>0</v>
      </c>
    </row>
    <row r="25" spans="1:6" x14ac:dyDescent="0.2">
      <c r="A25" s="23"/>
      <c r="B25" s="3" t="s">
        <v>62</v>
      </c>
      <c r="C25" s="53">
        <f>Produksi!F34</f>
        <v>8.16</v>
      </c>
      <c r="E25" s="22">
        <f t="shared" si="0"/>
        <v>0</v>
      </c>
    </row>
    <row r="26" spans="1:6" x14ac:dyDescent="0.2">
      <c r="A26" s="23"/>
      <c r="B26" s="3" t="s">
        <v>63</v>
      </c>
      <c r="C26" s="53" t="e">
        <f>Produksi!#REF!</f>
        <v>#REF!</v>
      </c>
      <c r="E26" s="22" t="e">
        <f t="shared" si="0"/>
        <v>#REF!</v>
      </c>
    </row>
    <row r="27" spans="1:6" x14ac:dyDescent="0.2">
      <c r="A27" s="24"/>
      <c r="B27" s="4" t="s">
        <v>64</v>
      </c>
      <c r="C27" s="59"/>
      <c r="D27" s="22">
        <v>0.05</v>
      </c>
      <c r="E27" s="22">
        <f t="shared" si="0"/>
        <v>0</v>
      </c>
      <c r="F27" s="22" t="s">
        <v>226</v>
      </c>
    </row>
    <row r="28" spans="1:6" x14ac:dyDescent="0.2">
      <c r="A28" s="24"/>
      <c r="B28" s="4" t="s">
        <v>65</v>
      </c>
      <c r="C28" s="53">
        <f>Produksi!F36</f>
        <v>0</v>
      </c>
      <c r="E28" s="22">
        <f t="shared" si="0"/>
        <v>0</v>
      </c>
    </row>
    <row r="29" spans="1:6" x14ac:dyDescent="0.2">
      <c r="A29" s="23"/>
      <c r="B29" s="3" t="s">
        <v>66</v>
      </c>
      <c r="C29" s="53">
        <f>Produksi!F38</f>
        <v>0</v>
      </c>
      <c r="D29" s="41">
        <v>0.05</v>
      </c>
      <c r="E29" s="22">
        <f t="shared" si="0"/>
        <v>0</v>
      </c>
    </row>
    <row r="30" spans="1:6" x14ac:dyDescent="0.2">
      <c r="A30" s="23"/>
      <c r="B30" s="3" t="s">
        <v>67</v>
      </c>
      <c r="C30" s="53">
        <f>Produksi!F39</f>
        <v>0</v>
      </c>
      <c r="E30" s="22">
        <f t="shared" si="0"/>
        <v>0</v>
      </c>
    </row>
    <row r="31" spans="1:6" x14ac:dyDescent="0.2">
      <c r="A31" s="24"/>
      <c r="B31" s="4"/>
      <c r="C31" s="53">
        <f>Produksi!F40</f>
        <v>0</v>
      </c>
      <c r="E31" s="22">
        <f t="shared" si="0"/>
        <v>0</v>
      </c>
    </row>
    <row r="32" spans="1:6" x14ac:dyDescent="0.2">
      <c r="A32" s="6" t="s">
        <v>68</v>
      </c>
      <c r="B32" s="4"/>
      <c r="C32" s="53">
        <f>Produksi!F41</f>
        <v>0</v>
      </c>
      <c r="E32" s="22">
        <f t="shared" si="0"/>
        <v>0</v>
      </c>
    </row>
    <row r="33" spans="1:5" x14ac:dyDescent="0.2">
      <c r="A33" s="24"/>
      <c r="B33" s="10" t="s">
        <v>69</v>
      </c>
      <c r="C33" s="53">
        <f>Produksi!F42</f>
        <v>85.3</v>
      </c>
      <c r="E33" s="22">
        <f t="shared" si="0"/>
        <v>0</v>
      </c>
    </row>
    <row r="34" spans="1:5" x14ac:dyDescent="0.2">
      <c r="A34" s="24"/>
      <c r="B34" s="10" t="s">
        <v>70</v>
      </c>
      <c r="C34" s="53">
        <f>Produksi!F43</f>
        <v>2</v>
      </c>
      <c r="E34" s="22">
        <f t="shared" si="0"/>
        <v>0</v>
      </c>
    </row>
    <row r="35" spans="1:5" x14ac:dyDescent="0.2">
      <c r="A35" s="24"/>
      <c r="B35" s="10" t="s">
        <v>71</v>
      </c>
      <c r="C35" s="53">
        <f>Produksi!F44</f>
        <v>5706.2</v>
      </c>
      <c r="E35" s="22">
        <f t="shared" si="0"/>
        <v>0</v>
      </c>
    </row>
    <row r="36" spans="1:5" x14ac:dyDescent="0.2">
      <c r="A36" s="24"/>
      <c r="B36" s="10" t="s">
        <v>72</v>
      </c>
      <c r="C36" s="53">
        <f>Produksi!F45</f>
        <v>4808.8999999999996</v>
      </c>
      <c r="E36" s="22">
        <f t="shared" si="0"/>
        <v>0</v>
      </c>
    </row>
    <row r="37" spans="1:5" x14ac:dyDescent="0.2">
      <c r="A37" s="24"/>
      <c r="B37" s="10" t="s">
        <v>73</v>
      </c>
      <c r="C37" s="53">
        <f>Produksi!F46</f>
        <v>10.199999999999999</v>
      </c>
      <c r="E37" s="22">
        <f t="shared" si="0"/>
        <v>0</v>
      </c>
    </row>
    <row r="38" spans="1:5" x14ac:dyDescent="0.2">
      <c r="A38" s="24"/>
      <c r="B38" s="10" t="s">
        <v>74</v>
      </c>
      <c r="C38" s="53">
        <f>Produksi!F47</f>
        <v>8</v>
      </c>
      <c r="E38" s="22">
        <f t="shared" si="0"/>
        <v>0</v>
      </c>
    </row>
    <row r="39" spans="1:5" x14ac:dyDescent="0.2">
      <c r="A39" s="24"/>
      <c r="B39" s="10" t="s">
        <v>75</v>
      </c>
      <c r="C39" s="53">
        <f>Produksi!F48</f>
        <v>198.3</v>
      </c>
      <c r="E39" s="22">
        <f t="shared" ref="E39:E70" si="1">C39*D39</f>
        <v>0</v>
      </c>
    </row>
    <row r="40" spans="1:5" x14ac:dyDescent="0.2">
      <c r="A40" s="24"/>
      <c r="B40" s="10" t="s">
        <v>76</v>
      </c>
      <c r="C40" s="53">
        <f>Produksi!F49</f>
        <v>75.099999999999994</v>
      </c>
      <c r="E40" s="22">
        <f t="shared" si="1"/>
        <v>0</v>
      </c>
    </row>
    <row r="41" spans="1:5" x14ac:dyDescent="0.2">
      <c r="A41" s="24"/>
      <c r="B41" s="10" t="s">
        <v>77</v>
      </c>
      <c r="C41" s="53">
        <f>Produksi!F50</f>
        <v>557.79999999999995</v>
      </c>
      <c r="E41" s="22">
        <f t="shared" si="1"/>
        <v>0</v>
      </c>
    </row>
    <row r="42" spans="1:5" x14ac:dyDescent="0.2">
      <c r="A42" s="24"/>
      <c r="B42" s="10" t="s">
        <v>78</v>
      </c>
      <c r="C42" s="53">
        <f>Produksi!F51</f>
        <v>488</v>
      </c>
      <c r="E42" s="22">
        <f t="shared" si="1"/>
        <v>0</v>
      </c>
    </row>
    <row r="43" spans="1:5" x14ac:dyDescent="0.2">
      <c r="A43" s="24"/>
      <c r="B43" s="10" t="s">
        <v>79</v>
      </c>
      <c r="C43" s="53">
        <f>Produksi!F52</f>
        <v>374</v>
      </c>
      <c r="E43" s="22">
        <f t="shared" si="1"/>
        <v>0</v>
      </c>
    </row>
    <row r="44" spans="1:5" x14ac:dyDescent="0.2">
      <c r="A44" s="24"/>
      <c r="B44" s="10" t="s">
        <v>80</v>
      </c>
      <c r="C44" s="53">
        <f>Produksi!F53</f>
        <v>48.6</v>
      </c>
      <c r="E44" s="22">
        <f t="shared" si="1"/>
        <v>0</v>
      </c>
    </row>
    <row r="45" spans="1:5" x14ac:dyDescent="0.2">
      <c r="A45" s="24"/>
      <c r="B45" s="10" t="s">
        <v>81</v>
      </c>
      <c r="C45" s="53">
        <f>Produksi!F54</f>
        <v>10.6</v>
      </c>
      <c r="E45" s="22">
        <f t="shared" si="1"/>
        <v>0</v>
      </c>
    </row>
    <row r="46" spans="1:5" x14ac:dyDescent="0.2">
      <c r="A46" s="24"/>
      <c r="B46" s="10" t="s">
        <v>4</v>
      </c>
      <c r="C46" s="53">
        <f>Produksi!F55</f>
        <v>88.4</v>
      </c>
      <c r="E46" s="22">
        <f t="shared" si="1"/>
        <v>0</v>
      </c>
    </row>
    <row r="47" spans="1:5" x14ac:dyDescent="0.2">
      <c r="A47" s="24"/>
      <c r="B47" s="10" t="s">
        <v>82</v>
      </c>
      <c r="C47" s="53">
        <f>Produksi!F56</f>
        <v>1166.8</v>
      </c>
      <c r="E47" s="22">
        <f t="shared" si="1"/>
        <v>0</v>
      </c>
    </row>
    <row r="48" spans="1:5" x14ac:dyDescent="0.2">
      <c r="A48" s="24"/>
      <c r="B48" s="10" t="s">
        <v>83</v>
      </c>
      <c r="C48" s="53">
        <f>Produksi!F57</f>
        <v>0.8</v>
      </c>
      <c r="E48" s="22">
        <f t="shared" si="1"/>
        <v>0</v>
      </c>
    </row>
    <row r="49" spans="1:5" x14ac:dyDescent="0.2">
      <c r="A49" s="24"/>
      <c r="B49" s="10" t="s">
        <v>84</v>
      </c>
      <c r="C49" s="53">
        <f>Produksi!F58</f>
        <v>398.5</v>
      </c>
      <c r="E49" s="22">
        <f t="shared" si="1"/>
        <v>0</v>
      </c>
    </row>
    <row r="50" spans="1:5" x14ac:dyDescent="0.2">
      <c r="A50" s="24"/>
      <c r="B50" s="10" t="s">
        <v>85</v>
      </c>
      <c r="C50" s="53">
        <f>Produksi!F59</f>
        <v>632.70000000000005</v>
      </c>
      <c r="E50" s="22">
        <f t="shared" si="1"/>
        <v>0</v>
      </c>
    </row>
    <row r="51" spans="1:5" x14ac:dyDescent="0.2">
      <c r="A51" s="24"/>
      <c r="B51" s="10" t="s">
        <v>86</v>
      </c>
      <c r="C51" s="53">
        <f>Produksi!F60</f>
        <v>0</v>
      </c>
      <c r="E51" s="22">
        <f t="shared" si="1"/>
        <v>0</v>
      </c>
    </row>
    <row r="52" spans="1:5" x14ac:dyDescent="0.2">
      <c r="A52" s="24"/>
      <c r="B52" s="10" t="s">
        <v>87</v>
      </c>
      <c r="C52" s="53">
        <f>Produksi!F61</f>
        <v>6.9</v>
      </c>
      <c r="E52" s="22">
        <f t="shared" si="1"/>
        <v>0</v>
      </c>
    </row>
    <row r="53" spans="1:5" x14ac:dyDescent="0.2">
      <c r="A53" s="24"/>
      <c r="B53" s="10" t="s">
        <v>88</v>
      </c>
      <c r="C53" s="53">
        <f>Produksi!F62</f>
        <v>38.6</v>
      </c>
      <c r="E53" s="22">
        <f t="shared" si="1"/>
        <v>0</v>
      </c>
    </row>
    <row r="54" spans="1:5" x14ac:dyDescent="0.2">
      <c r="A54" s="24"/>
      <c r="B54" s="10" t="s">
        <v>89</v>
      </c>
      <c r="C54" s="53">
        <f>Produksi!F63</f>
        <v>0</v>
      </c>
      <c r="E54" s="22">
        <f t="shared" si="1"/>
        <v>0</v>
      </c>
    </row>
    <row r="55" spans="1:5" x14ac:dyDescent="0.2">
      <c r="A55" s="24"/>
      <c r="B55" s="10" t="s">
        <v>90</v>
      </c>
      <c r="C55" s="53">
        <f>Produksi!F64</f>
        <v>0</v>
      </c>
      <c r="E55" s="22">
        <f t="shared" si="1"/>
        <v>0</v>
      </c>
    </row>
    <row r="56" spans="1:5" x14ac:dyDescent="0.2">
      <c r="A56" s="24"/>
      <c r="B56" s="10" t="s">
        <v>91</v>
      </c>
      <c r="C56" s="53">
        <f>Produksi!F65</f>
        <v>0</v>
      </c>
      <c r="E56" s="22">
        <f t="shared" si="1"/>
        <v>0</v>
      </c>
    </row>
    <row r="57" spans="1:5" x14ac:dyDescent="0.2">
      <c r="A57" s="23"/>
      <c r="B57" s="10" t="s">
        <v>92</v>
      </c>
      <c r="C57" s="53">
        <f>Produksi!F66</f>
        <v>0</v>
      </c>
      <c r="E57" s="22">
        <f t="shared" si="1"/>
        <v>0</v>
      </c>
    </row>
    <row r="58" spans="1:5" x14ac:dyDescent="0.2">
      <c r="A58" s="25"/>
      <c r="B58" s="11" t="s">
        <v>5</v>
      </c>
      <c r="C58" s="53">
        <f>Produksi!F67</f>
        <v>7</v>
      </c>
      <c r="E58" s="22">
        <f t="shared" si="1"/>
        <v>0</v>
      </c>
    </row>
    <row r="59" spans="1:5" x14ac:dyDescent="0.2">
      <c r="A59" s="25"/>
      <c r="B59" s="11" t="s">
        <v>6</v>
      </c>
      <c r="C59" s="53">
        <f>Produksi!F68</f>
        <v>10</v>
      </c>
      <c r="E59" s="22">
        <f t="shared" si="1"/>
        <v>0</v>
      </c>
    </row>
    <row r="60" spans="1:5" x14ac:dyDescent="0.2">
      <c r="A60" s="25"/>
      <c r="B60" s="11" t="s">
        <v>7</v>
      </c>
      <c r="C60" s="53">
        <f>Produksi!F69</f>
        <v>0</v>
      </c>
      <c r="E60" s="22">
        <f t="shared" si="1"/>
        <v>0</v>
      </c>
    </row>
    <row r="61" spans="1:5" x14ac:dyDescent="0.2">
      <c r="A61" s="25"/>
      <c r="B61" s="11" t="s">
        <v>93</v>
      </c>
      <c r="C61" s="53">
        <f>Produksi!F70</f>
        <v>0</v>
      </c>
      <c r="E61" s="22">
        <f t="shared" si="1"/>
        <v>0</v>
      </c>
    </row>
    <row r="62" spans="1:5" x14ac:dyDescent="0.2">
      <c r="A62" s="25"/>
      <c r="B62" s="11" t="s">
        <v>8</v>
      </c>
      <c r="C62" s="53">
        <f>Produksi!F71</f>
        <v>0</v>
      </c>
      <c r="E62" s="22">
        <f t="shared" si="1"/>
        <v>0</v>
      </c>
    </row>
    <row r="63" spans="1:5" x14ac:dyDescent="0.2">
      <c r="A63" s="25"/>
      <c r="B63" s="11" t="s">
        <v>9</v>
      </c>
      <c r="C63" s="53">
        <f>Produksi!F72</f>
        <v>0</v>
      </c>
      <c r="E63" s="22">
        <f t="shared" si="1"/>
        <v>0</v>
      </c>
    </row>
    <row r="64" spans="1:5" x14ac:dyDescent="0.2">
      <c r="A64" s="25"/>
      <c r="B64" s="11" t="s">
        <v>10</v>
      </c>
      <c r="C64" s="53">
        <f>Produksi!F73</f>
        <v>0</v>
      </c>
      <c r="E64" s="22">
        <f t="shared" si="1"/>
        <v>0</v>
      </c>
    </row>
    <row r="65" spans="1:6" x14ac:dyDescent="0.2">
      <c r="A65" s="25"/>
      <c r="B65" s="11" t="s">
        <v>11</v>
      </c>
      <c r="C65" s="53">
        <f>Produksi!F74</f>
        <v>0</v>
      </c>
      <c r="E65" s="22">
        <f t="shared" si="1"/>
        <v>0</v>
      </c>
    </row>
    <row r="66" spans="1:6" x14ac:dyDescent="0.2">
      <c r="A66" s="25"/>
      <c r="B66" s="11" t="s">
        <v>12</v>
      </c>
      <c r="C66" s="53">
        <f>Produksi!F75</f>
        <v>0</v>
      </c>
      <c r="E66" s="22">
        <f t="shared" si="1"/>
        <v>0</v>
      </c>
    </row>
    <row r="67" spans="1:6" x14ac:dyDescent="0.2">
      <c r="A67" s="25"/>
      <c r="B67" s="11" t="s">
        <v>13</v>
      </c>
      <c r="C67" s="53">
        <f>Produksi!F76</f>
        <v>58</v>
      </c>
      <c r="E67" s="22">
        <f t="shared" si="1"/>
        <v>0</v>
      </c>
    </row>
    <row r="68" spans="1:6" x14ac:dyDescent="0.2">
      <c r="A68" s="25"/>
      <c r="B68" s="11" t="s">
        <v>14</v>
      </c>
      <c r="C68" s="53">
        <f>Produksi!F77</f>
        <v>0</v>
      </c>
      <c r="E68" s="22">
        <f t="shared" si="1"/>
        <v>0</v>
      </c>
    </row>
    <row r="69" spans="1:6" x14ac:dyDescent="0.2">
      <c r="A69" s="25"/>
      <c r="B69" s="11" t="s">
        <v>15</v>
      </c>
      <c r="C69" s="53">
        <f>Produksi!F78</f>
        <v>23</v>
      </c>
      <c r="E69" s="22">
        <f t="shared" si="1"/>
        <v>0</v>
      </c>
    </row>
    <row r="70" spans="1:6" x14ac:dyDescent="0.2">
      <c r="A70" s="26"/>
      <c r="B70" s="27" t="s">
        <v>16</v>
      </c>
      <c r="C70" s="53">
        <f>Produksi!F79</f>
        <v>125</v>
      </c>
      <c r="E70" s="22">
        <f t="shared" si="1"/>
        <v>0</v>
      </c>
    </row>
    <row r="71" spans="1:6" x14ac:dyDescent="0.2">
      <c r="A71" s="26"/>
      <c r="B71" s="27" t="s">
        <v>17</v>
      </c>
      <c r="C71" s="53">
        <f>Produksi!F80</f>
        <v>0</v>
      </c>
      <c r="E71" s="22">
        <f t="shared" ref="E71:E102" si="2">C71*D71</f>
        <v>0</v>
      </c>
    </row>
    <row r="72" spans="1:6" x14ac:dyDescent="0.2">
      <c r="A72" s="25"/>
      <c r="B72" s="11" t="s">
        <v>18</v>
      </c>
      <c r="C72" s="53">
        <f>Produksi!F81</f>
        <v>0</v>
      </c>
      <c r="E72" s="22">
        <f t="shared" si="2"/>
        <v>0</v>
      </c>
    </row>
    <row r="73" spans="1:6" x14ac:dyDescent="0.2">
      <c r="A73" s="25"/>
      <c r="B73" s="11"/>
      <c r="C73" s="53">
        <f>Produksi!F82</f>
        <v>0</v>
      </c>
      <c r="E73" s="22">
        <f t="shared" si="2"/>
        <v>0</v>
      </c>
    </row>
    <row r="74" spans="1:6" x14ac:dyDescent="0.2">
      <c r="A74" s="12" t="s">
        <v>19</v>
      </c>
      <c r="B74" s="3"/>
      <c r="C74" s="53">
        <f>Produksi!F83</f>
        <v>0</v>
      </c>
      <c r="E74" s="22">
        <f t="shared" si="2"/>
        <v>0</v>
      </c>
    </row>
    <row r="75" spans="1:6" x14ac:dyDescent="0.2">
      <c r="A75" s="23"/>
      <c r="B75" s="3" t="s">
        <v>94</v>
      </c>
      <c r="C75" s="59"/>
      <c r="D75" s="22">
        <f>2.5*65.84%</f>
        <v>1.6459999999999999</v>
      </c>
      <c r="E75" s="22">
        <f t="shared" si="2"/>
        <v>0</v>
      </c>
      <c r="F75" s="22" t="s">
        <v>226</v>
      </c>
    </row>
    <row r="76" spans="1:6" x14ac:dyDescent="0.2">
      <c r="A76" s="24"/>
      <c r="B76" s="10" t="s">
        <v>95</v>
      </c>
      <c r="C76" s="53">
        <f>Produksi!F87</f>
        <v>7.4</v>
      </c>
      <c r="D76" s="22">
        <v>0.71</v>
      </c>
      <c r="E76" s="22">
        <f t="shared" si="2"/>
        <v>5.2539999999999996</v>
      </c>
    </row>
    <row r="77" spans="1:6" x14ac:dyDescent="0.2">
      <c r="A77" s="23"/>
      <c r="B77" s="3" t="s">
        <v>96</v>
      </c>
      <c r="C77" s="53">
        <f>Produksi!F88</f>
        <v>0</v>
      </c>
      <c r="D77" s="22">
        <v>2.87</v>
      </c>
      <c r="E77" s="22">
        <f t="shared" si="2"/>
        <v>0</v>
      </c>
    </row>
    <row r="78" spans="1:6" x14ac:dyDescent="0.2">
      <c r="A78" s="23"/>
      <c r="B78" s="3" t="s">
        <v>97</v>
      </c>
      <c r="C78" s="53">
        <f>Produksi!F89</f>
        <v>76</v>
      </c>
      <c r="D78" s="22">
        <v>0.44</v>
      </c>
      <c r="E78" s="22">
        <f t="shared" si="2"/>
        <v>33.44</v>
      </c>
    </row>
    <row r="79" spans="1:6" x14ac:dyDescent="0.2">
      <c r="A79" s="24"/>
      <c r="B79" s="4" t="s">
        <v>98</v>
      </c>
      <c r="C79" s="53">
        <f>Produksi!F90</f>
        <v>0</v>
      </c>
      <c r="D79" s="22">
        <v>1.19</v>
      </c>
      <c r="E79" s="22">
        <f t="shared" si="2"/>
        <v>0</v>
      </c>
    </row>
    <row r="80" spans="1:6" x14ac:dyDescent="0.2">
      <c r="A80" s="24"/>
      <c r="B80" s="10" t="s">
        <v>99</v>
      </c>
      <c r="C80" s="53">
        <f>Produksi!F91</f>
        <v>0</v>
      </c>
      <c r="D80" s="22">
        <v>0</v>
      </c>
      <c r="E80" s="22">
        <f t="shared" si="2"/>
        <v>0</v>
      </c>
    </row>
    <row r="81" spans="1:5" x14ac:dyDescent="0.2">
      <c r="A81" s="24"/>
      <c r="B81" s="10" t="s">
        <v>100</v>
      </c>
      <c r="C81" s="53">
        <f>Produksi!F92</f>
        <v>0</v>
      </c>
      <c r="D81" s="22">
        <v>0.71</v>
      </c>
      <c r="E81" s="22">
        <f t="shared" si="2"/>
        <v>0</v>
      </c>
    </row>
    <row r="82" spans="1:5" x14ac:dyDescent="0.2">
      <c r="A82" s="24"/>
      <c r="B82" s="10" t="s">
        <v>101</v>
      </c>
      <c r="C82" s="53">
        <f>Produksi!F93</f>
        <v>0</v>
      </c>
      <c r="D82" s="22">
        <v>0</v>
      </c>
      <c r="E82" s="22">
        <f t="shared" si="2"/>
        <v>0</v>
      </c>
    </row>
    <row r="83" spans="1:5" x14ac:dyDescent="0.2">
      <c r="A83" s="24"/>
      <c r="B83" s="14" t="s">
        <v>166</v>
      </c>
      <c r="C83" s="53">
        <f>Produksi!F94</f>
        <v>78.400000000000006</v>
      </c>
      <c r="D83" s="22">
        <v>0.71</v>
      </c>
      <c r="E83" s="22">
        <f t="shared" si="2"/>
        <v>55.664000000000001</v>
      </c>
    </row>
    <row r="84" spans="1:5" x14ac:dyDescent="0.2">
      <c r="A84" s="24"/>
      <c r="B84" s="14" t="s">
        <v>20</v>
      </c>
      <c r="C84" s="53">
        <f>Produksi!F95</f>
        <v>60.7</v>
      </c>
      <c r="D84" s="22">
        <v>0.71</v>
      </c>
      <c r="E84" s="22">
        <f t="shared" si="2"/>
        <v>43.097000000000001</v>
      </c>
    </row>
    <row r="85" spans="1:5" x14ac:dyDescent="0.2">
      <c r="A85" s="24"/>
      <c r="B85" s="10" t="s">
        <v>102</v>
      </c>
      <c r="C85" s="53">
        <f>Produksi!F96</f>
        <v>41.8</v>
      </c>
      <c r="D85" s="22">
        <v>0.73</v>
      </c>
      <c r="E85" s="22">
        <f t="shared" si="2"/>
        <v>30.513999999999996</v>
      </c>
    </row>
    <row r="86" spans="1:5" x14ac:dyDescent="0.2">
      <c r="A86" s="23"/>
      <c r="B86" s="13" t="s">
        <v>103</v>
      </c>
      <c r="C86" s="53">
        <f>Produksi!F97</f>
        <v>0</v>
      </c>
      <c r="D86" s="22">
        <v>0</v>
      </c>
      <c r="E86" s="22">
        <f t="shared" si="2"/>
        <v>0</v>
      </c>
    </row>
    <row r="87" spans="1:5" x14ac:dyDescent="0.2">
      <c r="A87" s="24"/>
      <c r="B87" s="10" t="s">
        <v>104</v>
      </c>
      <c r="C87" s="53">
        <f>Produksi!F98</f>
        <v>0</v>
      </c>
      <c r="D87" s="22">
        <v>0.7</v>
      </c>
      <c r="E87" s="22">
        <f t="shared" si="2"/>
        <v>0</v>
      </c>
    </row>
    <row r="88" spans="1:5" x14ac:dyDescent="0.2">
      <c r="A88" s="24"/>
      <c r="B88" s="10" t="s">
        <v>105</v>
      </c>
      <c r="C88" s="53">
        <f>Produksi!F99</f>
        <v>270.8</v>
      </c>
      <c r="D88" s="22">
        <v>0.57999999999999996</v>
      </c>
      <c r="E88" s="22">
        <f t="shared" si="2"/>
        <v>157.06399999999999</v>
      </c>
    </row>
    <row r="89" spans="1:5" x14ac:dyDescent="0.2">
      <c r="A89" s="24"/>
      <c r="B89" s="10" t="s">
        <v>106</v>
      </c>
      <c r="C89" s="53">
        <f>Produksi!F100</f>
        <v>0</v>
      </c>
      <c r="D89" s="22">
        <v>0.39</v>
      </c>
      <c r="E89" s="22">
        <f t="shared" si="2"/>
        <v>0</v>
      </c>
    </row>
    <row r="90" spans="1:5" x14ac:dyDescent="0.2">
      <c r="A90" s="24"/>
      <c r="B90" s="10" t="s">
        <v>107</v>
      </c>
      <c r="C90" s="53">
        <f>Produksi!F101</f>
        <v>0</v>
      </c>
      <c r="D90" s="22">
        <v>0.43</v>
      </c>
      <c r="E90" s="22">
        <f t="shared" si="2"/>
        <v>0</v>
      </c>
    </row>
    <row r="91" spans="1:5" x14ac:dyDescent="0.2">
      <c r="A91" s="24"/>
      <c r="B91" s="10" t="s">
        <v>108</v>
      </c>
      <c r="C91" s="53">
        <f>Produksi!F102</f>
        <v>0</v>
      </c>
      <c r="D91" s="22">
        <v>0.44</v>
      </c>
      <c r="E91" s="22">
        <f t="shared" si="2"/>
        <v>0</v>
      </c>
    </row>
    <row r="92" spans="1:5" x14ac:dyDescent="0.2">
      <c r="A92" s="24"/>
      <c r="B92" s="10" t="s">
        <v>109</v>
      </c>
      <c r="C92" s="53">
        <f>Produksi!F103</f>
        <v>231.4</v>
      </c>
      <c r="D92" s="22">
        <v>0.44</v>
      </c>
      <c r="E92" s="22">
        <f t="shared" si="2"/>
        <v>101.816</v>
      </c>
    </row>
    <row r="93" spans="1:5" x14ac:dyDescent="0.2">
      <c r="A93" s="28"/>
      <c r="B93" s="10" t="s">
        <v>110</v>
      </c>
      <c r="C93" s="53" t="e">
        <f>Produksi!#REF!</f>
        <v>#REF!</v>
      </c>
      <c r="D93" s="22">
        <v>0.24</v>
      </c>
      <c r="E93" s="22" t="e">
        <f t="shared" si="2"/>
        <v>#REF!</v>
      </c>
    </row>
    <row r="94" spans="1:5" x14ac:dyDescent="0.2">
      <c r="A94" s="28"/>
      <c r="B94" s="10" t="s">
        <v>111</v>
      </c>
      <c r="C94" s="53">
        <f>Produksi!F104</f>
        <v>0</v>
      </c>
      <c r="E94" s="22">
        <f t="shared" si="2"/>
        <v>0</v>
      </c>
    </row>
    <row r="95" spans="1:5" x14ac:dyDescent="0.2">
      <c r="A95" s="28"/>
      <c r="B95" s="14" t="s">
        <v>167</v>
      </c>
      <c r="C95" s="53">
        <f>Produksi!F105</f>
        <v>0</v>
      </c>
      <c r="E95" s="22">
        <f t="shared" si="2"/>
        <v>0</v>
      </c>
    </row>
    <row r="96" spans="1:5" x14ac:dyDescent="0.2">
      <c r="A96" s="28"/>
      <c r="B96" s="14" t="s">
        <v>21</v>
      </c>
      <c r="C96" s="53">
        <f>Produksi!F106</f>
        <v>0</v>
      </c>
      <c r="E96" s="22">
        <f t="shared" si="2"/>
        <v>0</v>
      </c>
    </row>
    <row r="97" spans="1:5" x14ac:dyDescent="0.2">
      <c r="A97" s="28"/>
      <c r="B97" s="14" t="s">
        <v>22</v>
      </c>
      <c r="C97" s="53">
        <f>Produksi!F107</f>
        <v>0</v>
      </c>
      <c r="E97" s="22">
        <f t="shared" si="2"/>
        <v>0</v>
      </c>
    </row>
    <row r="98" spans="1:5" x14ac:dyDescent="0.2">
      <c r="A98" s="28"/>
      <c r="B98" s="10" t="s">
        <v>112</v>
      </c>
      <c r="C98" s="53">
        <f>Produksi!F108</f>
        <v>0</v>
      </c>
      <c r="E98" s="22">
        <f t="shared" si="2"/>
        <v>0</v>
      </c>
    </row>
    <row r="99" spans="1:5" x14ac:dyDescent="0.2">
      <c r="A99" s="28"/>
      <c r="B99" s="10" t="s">
        <v>113</v>
      </c>
      <c r="C99" s="53">
        <f>Produksi!F109</f>
        <v>0</v>
      </c>
      <c r="E99" s="22">
        <f t="shared" si="2"/>
        <v>0</v>
      </c>
    </row>
    <row r="100" spans="1:5" x14ac:dyDescent="0.2">
      <c r="A100" s="28"/>
      <c r="B100" s="10" t="s">
        <v>114</v>
      </c>
      <c r="C100" s="53">
        <f>Produksi!F110</f>
        <v>0</v>
      </c>
      <c r="E100" s="22">
        <f t="shared" si="2"/>
        <v>0</v>
      </c>
    </row>
    <row r="101" spans="1:5" x14ac:dyDescent="0.2">
      <c r="A101" s="28"/>
      <c r="B101" s="10" t="s">
        <v>115</v>
      </c>
      <c r="C101" s="53">
        <f>Produksi!F111</f>
        <v>0</v>
      </c>
      <c r="D101" s="22">
        <v>0.64</v>
      </c>
      <c r="E101" s="22">
        <f t="shared" si="2"/>
        <v>0</v>
      </c>
    </row>
    <row r="102" spans="1:5" x14ac:dyDescent="0.2">
      <c r="A102" s="24"/>
      <c r="B102" s="14" t="s">
        <v>23</v>
      </c>
      <c r="C102" s="53">
        <f>Produksi!F112</f>
        <v>0</v>
      </c>
      <c r="E102" s="22">
        <f t="shared" si="2"/>
        <v>0</v>
      </c>
    </row>
    <row r="103" spans="1:5" x14ac:dyDescent="0.2">
      <c r="A103" s="29"/>
      <c r="B103" s="14" t="s">
        <v>24</v>
      </c>
      <c r="C103" s="53">
        <f>Produksi!F113</f>
        <v>0</v>
      </c>
      <c r="E103" s="22">
        <f t="shared" ref="E103:E134" si="3">C103*D103</f>
        <v>0</v>
      </c>
    </row>
    <row r="104" spans="1:5" x14ac:dyDescent="0.2">
      <c r="A104" s="29"/>
      <c r="B104" s="14" t="s">
        <v>25</v>
      </c>
      <c r="C104" s="53">
        <f>Produksi!F114</f>
        <v>0</v>
      </c>
      <c r="E104" s="22">
        <f t="shared" si="3"/>
        <v>0</v>
      </c>
    </row>
    <row r="105" spans="1:5" x14ac:dyDescent="0.2">
      <c r="A105" s="29"/>
      <c r="B105" s="14" t="s">
        <v>26</v>
      </c>
      <c r="C105" s="53">
        <f>Produksi!F115</f>
        <v>0</v>
      </c>
      <c r="E105" s="22">
        <f t="shared" si="3"/>
        <v>0</v>
      </c>
    </row>
    <row r="106" spans="1:5" x14ac:dyDescent="0.2">
      <c r="A106" s="24"/>
      <c r="B106" s="30" t="s">
        <v>27</v>
      </c>
      <c r="C106" s="53" t="e">
        <f>Produksi!#REF!</f>
        <v>#REF!</v>
      </c>
      <c r="E106" s="22" t="e">
        <f t="shared" si="3"/>
        <v>#REF!</v>
      </c>
    </row>
    <row r="107" spans="1:5" x14ac:dyDescent="0.2">
      <c r="A107" s="29"/>
      <c r="B107" s="21" t="s">
        <v>173</v>
      </c>
      <c r="C107" s="53">
        <f>Produksi!F116</f>
        <v>0</v>
      </c>
      <c r="E107" s="22">
        <f t="shared" si="3"/>
        <v>0</v>
      </c>
    </row>
    <row r="108" spans="1:5" x14ac:dyDescent="0.2">
      <c r="A108" s="29"/>
      <c r="B108" s="21"/>
      <c r="C108" s="53">
        <f>Produksi!F117</f>
        <v>0</v>
      </c>
      <c r="E108" s="22">
        <f t="shared" si="3"/>
        <v>0</v>
      </c>
    </row>
    <row r="109" spans="1:5" x14ac:dyDescent="0.2">
      <c r="A109" s="15" t="s">
        <v>116</v>
      </c>
      <c r="B109" s="4"/>
      <c r="C109" s="53">
        <f>Produksi!F118</f>
        <v>0</v>
      </c>
      <c r="E109" s="22">
        <f t="shared" si="3"/>
        <v>0</v>
      </c>
    </row>
    <row r="110" spans="1:5" x14ac:dyDescent="0.2">
      <c r="A110" s="31"/>
      <c r="B110" s="4" t="s">
        <v>117</v>
      </c>
      <c r="C110" s="53">
        <f>Produksi!F119</f>
        <v>1282.0047144740035</v>
      </c>
      <c r="E110" s="22">
        <f t="shared" si="3"/>
        <v>0</v>
      </c>
    </row>
    <row r="111" spans="1:5" x14ac:dyDescent="0.2">
      <c r="A111" s="31"/>
      <c r="B111" s="4" t="s">
        <v>118</v>
      </c>
      <c r="C111" s="53">
        <f>Produksi!F122</f>
        <v>138.70531953751254</v>
      </c>
      <c r="E111" s="22">
        <f t="shared" si="3"/>
        <v>0</v>
      </c>
    </row>
    <row r="112" spans="1:5" x14ac:dyDescent="0.2">
      <c r="A112" s="31"/>
      <c r="B112" s="4" t="s">
        <v>119</v>
      </c>
      <c r="C112" s="53">
        <f>Produksi!F123</f>
        <v>43.426272003714594</v>
      </c>
      <c r="E112" s="22">
        <f t="shared" si="3"/>
        <v>0</v>
      </c>
    </row>
    <row r="113" spans="1:5" x14ac:dyDescent="0.2">
      <c r="A113" s="31"/>
      <c r="B113" s="4" t="s">
        <v>120</v>
      </c>
      <c r="C113" s="53">
        <f>Produksi!F124</f>
        <v>0</v>
      </c>
      <c r="E113" s="22">
        <f t="shared" si="3"/>
        <v>0</v>
      </c>
    </row>
    <row r="114" spans="1:5" x14ac:dyDescent="0.2">
      <c r="A114" s="23"/>
      <c r="B114" s="3" t="s">
        <v>121</v>
      </c>
      <c r="C114" s="53">
        <f>Produksi!F125</f>
        <v>0</v>
      </c>
      <c r="E114" s="22">
        <f t="shared" si="3"/>
        <v>0</v>
      </c>
    </row>
    <row r="115" spans="1:5" x14ac:dyDescent="0.2">
      <c r="A115" s="31"/>
      <c r="B115" s="4" t="s">
        <v>122</v>
      </c>
      <c r="C115" s="53">
        <f>Produksi!F126</f>
        <v>0</v>
      </c>
      <c r="E115" s="22">
        <f t="shared" si="3"/>
        <v>0</v>
      </c>
    </row>
    <row r="116" spans="1:5" x14ac:dyDescent="0.2">
      <c r="A116" s="23"/>
      <c r="B116" s="3" t="s">
        <v>123</v>
      </c>
      <c r="C116" s="53">
        <f>Produksi!F127</f>
        <v>218.5047229722</v>
      </c>
      <c r="E116" s="22">
        <f t="shared" si="3"/>
        <v>0</v>
      </c>
    </row>
    <row r="117" spans="1:5" x14ac:dyDescent="0.2">
      <c r="A117" s="23"/>
      <c r="B117" s="3" t="s">
        <v>124</v>
      </c>
      <c r="C117" s="53">
        <f>Produksi!F128</f>
        <v>4500.6264758545003</v>
      </c>
      <c r="E117" s="22">
        <f t="shared" si="3"/>
        <v>0</v>
      </c>
    </row>
    <row r="118" spans="1:5" x14ac:dyDescent="0.2">
      <c r="A118" s="31"/>
      <c r="B118" s="4" t="s">
        <v>125</v>
      </c>
      <c r="C118" s="53">
        <f>Produksi!F129</f>
        <v>10.16115008265</v>
      </c>
      <c r="E118" s="22">
        <f t="shared" si="3"/>
        <v>0</v>
      </c>
    </row>
    <row r="119" spans="1:5" x14ac:dyDescent="0.2">
      <c r="A119" s="32"/>
      <c r="B119" s="3" t="s">
        <v>126</v>
      </c>
      <c r="C119" s="53">
        <f>Produksi!F130</f>
        <v>6.8619012000000001</v>
      </c>
      <c r="E119" s="22">
        <f t="shared" si="3"/>
        <v>0</v>
      </c>
    </row>
    <row r="120" spans="1:5" x14ac:dyDescent="0.2">
      <c r="A120" s="23"/>
      <c r="B120" s="3" t="s">
        <v>127</v>
      </c>
      <c r="C120" s="53">
        <f>Produksi!F131</f>
        <v>844.71164549075263</v>
      </c>
      <c r="E120" s="22">
        <f t="shared" si="3"/>
        <v>0</v>
      </c>
    </row>
    <row r="121" spans="1:5" x14ac:dyDescent="0.2">
      <c r="A121" s="33"/>
      <c r="B121" s="4"/>
      <c r="C121" s="53">
        <f>Produksi!F132</f>
        <v>0</v>
      </c>
      <c r="E121" s="22">
        <f t="shared" si="3"/>
        <v>0</v>
      </c>
    </row>
    <row r="122" spans="1:5" x14ac:dyDescent="0.2">
      <c r="A122" s="6" t="s">
        <v>128</v>
      </c>
      <c r="B122" s="4"/>
      <c r="C122" s="53">
        <f>Produksi!F133</f>
        <v>0</v>
      </c>
      <c r="E122" s="22">
        <f t="shared" si="3"/>
        <v>0</v>
      </c>
    </row>
    <row r="123" spans="1:5" x14ac:dyDescent="0.2">
      <c r="A123" s="23"/>
      <c r="B123" s="13" t="s">
        <v>129</v>
      </c>
      <c r="C123" s="53">
        <f>Produksi!F134</f>
        <v>131.24472141375</v>
      </c>
      <c r="D123" s="22">
        <v>25</v>
      </c>
      <c r="E123" s="22">
        <f t="shared" si="3"/>
        <v>3281.1180353437499</v>
      </c>
    </row>
    <row r="124" spans="1:5" x14ac:dyDescent="0.2">
      <c r="A124" s="23"/>
      <c r="B124" s="13" t="s">
        <v>175</v>
      </c>
      <c r="C124" s="53">
        <f>Produksi!F135</f>
        <v>538.91259985080001</v>
      </c>
      <c r="D124" s="22">
        <v>0</v>
      </c>
      <c r="E124" s="22">
        <f t="shared" si="3"/>
        <v>0</v>
      </c>
    </row>
    <row r="125" spans="1:5" x14ac:dyDescent="0.2">
      <c r="A125" s="24"/>
      <c r="B125" s="16" t="s">
        <v>130</v>
      </c>
      <c r="C125" s="53">
        <f>Produksi!F136</f>
        <v>103.45018958295</v>
      </c>
      <c r="D125" s="22">
        <v>13.5</v>
      </c>
      <c r="E125" s="22">
        <f t="shared" si="3"/>
        <v>1396.5775593698249</v>
      </c>
    </row>
    <row r="126" spans="1:5" x14ac:dyDescent="0.2">
      <c r="A126" s="23"/>
      <c r="B126" s="16" t="s">
        <v>131</v>
      </c>
      <c r="C126" s="53">
        <f>Produksi!F137</f>
        <v>54.084257639999997</v>
      </c>
      <c r="E126" s="22">
        <f t="shared" si="3"/>
        <v>0</v>
      </c>
    </row>
    <row r="127" spans="1:5" x14ac:dyDescent="0.2">
      <c r="A127" s="23"/>
      <c r="B127" s="4"/>
      <c r="C127" s="53">
        <f>Produksi!F138</f>
        <v>0</v>
      </c>
      <c r="E127" s="22">
        <f t="shared" si="3"/>
        <v>0</v>
      </c>
    </row>
    <row r="128" spans="1:5" x14ac:dyDescent="0.2">
      <c r="A128" s="6" t="s">
        <v>132</v>
      </c>
      <c r="B128" s="4"/>
      <c r="C128" s="53">
        <f>Produksi!F139</f>
        <v>0</v>
      </c>
      <c r="E128" s="22">
        <f t="shared" si="3"/>
        <v>0</v>
      </c>
    </row>
    <row r="129" spans="1:5" x14ac:dyDescent="0.2">
      <c r="A129" s="24"/>
      <c r="B129" s="4" t="s">
        <v>133</v>
      </c>
      <c r="C129" s="53">
        <f>Produksi!F140</f>
        <v>0</v>
      </c>
      <c r="E129" s="22">
        <f t="shared" si="3"/>
        <v>0</v>
      </c>
    </row>
    <row r="130" spans="1:5" x14ac:dyDescent="0.2">
      <c r="A130" s="24"/>
      <c r="B130" s="4" t="s">
        <v>134</v>
      </c>
      <c r="C130" s="53">
        <f>Produksi!F141</f>
        <v>0</v>
      </c>
      <c r="E130" s="22">
        <f t="shared" si="3"/>
        <v>0</v>
      </c>
    </row>
    <row r="131" spans="1:5" x14ac:dyDescent="0.2">
      <c r="A131" s="23"/>
      <c r="B131" s="4"/>
      <c r="C131" s="53">
        <f>Produksi!F142</f>
        <v>0</v>
      </c>
      <c r="E131" s="22">
        <f t="shared" si="3"/>
        <v>0</v>
      </c>
    </row>
    <row r="132" spans="1:5" x14ac:dyDescent="0.2">
      <c r="A132" s="7" t="s">
        <v>135</v>
      </c>
      <c r="B132" s="4"/>
      <c r="C132" s="53">
        <f>Produksi!F143</f>
        <v>0</v>
      </c>
      <c r="E132" s="22">
        <f t="shared" si="3"/>
        <v>0</v>
      </c>
    </row>
    <row r="133" spans="1:5" x14ac:dyDescent="0.2">
      <c r="A133" s="25"/>
      <c r="B133" s="3" t="s">
        <v>174</v>
      </c>
      <c r="C133" s="53">
        <f>Produksi!F144</f>
        <v>0</v>
      </c>
      <c r="E133" s="22">
        <f t="shared" si="3"/>
        <v>0</v>
      </c>
    </row>
    <row r="134" spans="1:5" x14ac:dyDescent="0.2">
      <c r="A134" s="24"/>
      <c r="B134" s="4" t="s">
        <v>136</v>
      </c>
      <c r="C134" s="53">
        <f>Produksi!F145</f>
        <v>0</v>
      </c>
      <c r="E134" s="22">
        <f t="shared" si="3"/>
        <v>0</v>
      </c>
    </row>
    <row r="135" spans="1:5" x14ac:dyDescent="0.2">
      <c r="A135" s="24"/>
      <c r="B135" s="4" t="s">
        <v>137</v>
      </c>
      <c r="C135" s="53">
        <f>Produksi!F146</f>
        <v>0</v>
      </c>
      <c r="E135" s="22">
        <f t="shared" ref="E135:E166" si="4">C135*D135</f>
        <v>0</v>
      </c>
    </row>
    <row r="136" spans="1:5" x14ac:dyDescent="0.2">
      <c r="A136" s="24"/>
      <c r="B136" s="4" t="s">
        <v>138</v>
      </c>
      <c r="C136" s="53">
        <f>Produksi!F147</f>
        <v>0</v>
      </c>
      <c r="E136" s="22">
        <f t="shared" si="4"/>
        <v>0</v>
      </c>
    </row>
    <row r="137" spans="1:5" x14ac:dyDescent="0.2">
      <c r="A137" s="24"/>
      <c r="B137" s="4" t="s">
        <v>139</v>
      </c>
      <c r="C137" s="53">
        <f>Produksi!F148</f>
        <v>0</v>
      </c>
      <c r="E137" s="22">
        <f t="shared" si="4"/>
        <v>0</v>
      </c>
    </row>
    <row r="138" spans="1:5" x14ac:dyDescent="0.2">
      <c r="A138" s="24"/>
      <c r="B138" s="4" t="s">
        <v>140</v>
      </c>
      <c r="C138" s="53">
        <f>Produksi!F149</f>
        <v>0</v>
      </c>
      <c r="E138" s="22">
        <f t="shared" si="4"/>
        <v>0</v>
      </c>
    </row>
    <row r="139" spans="1:5" x14ac:dyDescent="0.2">
      <c r="A139" s="24"/>
      <c r="B139" s="4" t="s">
        <v>141</v>
      </c>
      <c r="C139" s="53">
        <f>Produksi!F150</f>
        <v>0</v>
      </c>
      <c r="E139" s="22">
        <f t="shared" si="4"/>
        <v>0</v>
      </c>
    </row>
    <row r="140" spans="1:5" x14ac:dyDescent="0.2">
      <c r="A140" s="23"/>
      <c r="B140" s="3" t="s">
        <v>142</v>
      </c>
      <c r="C140" s="53">
        <f>Produksi!F151</f>
        <v>0</v>
      </c>
      <c r="E140" s="22">
        <f t="shared" si="4"/>
        <v>0</v>
      </c>
    </row>
    <row r="141" spans="1:5" x14ac:dyDescent="0.2">
      <c r="A141" s="24"/>
      <c r="B141" s="4" t="s">
        <v>143</v>
      </c>
      <c r="C141" s="53">
        <f>Produksi!F152</f>
        <v>0</v>
      </c>
      <c r="E141" s="22">
        <f t="shared" si="4"/>
        <v>0</v>
      </c>
    </row>
    <row r="142" spans="1:5" x14ac:dyDescent="0.2">
      <c r="A142" s="34"/>
      <c r="B142" s="4" t="s">
        <v>144</v>
      </c>
      <c r="C142" s="53">
        <f>Produksi!F153</f>
        <v>0</v>
      </c>
      <c r="E142" s="22">
        <f t="shared" si="4"/>
        <v>0</v>
      </c>
    </row>
    <row r="143" spans="1:5" x14ac:dyDescent="0.2">
      <c r="A143" s="24"/>
      <c r="B143" s="4" t="s">
        <v>145</v>
      </c>
      <c r="C143" s="53">
        <f>Produksi!F154</f>
        <v>0</v>
      </c>
      <c r="E143" s="22">
        <f t="shared" si="4"/>
        <v>0</v>
      </c>
    </row>
    <row r="144" spans="1:5" x14ac:dyDescent="0.2">
      <c r="A144" s="34"/>
      <c r="B144" s="4" t="s">
        <v>146</v>
      </c>
      <c r="C144" s="53">
        <f>Produksi!F155</f>
        <v>3017.43</v>
      </c>
      <c r="E144" s="22">
        <f t="shared" si="4"/>
        <v>0</v>
      </c>
    </row>
    <row r="145" spans="1:5" x14ac:dyDescent="0.2">
      <c r="A145" s="34"/>
      <c r="B145" s="4" t="s">
        <v>147</v>
      </c>
      <c r="C145" s="53">
        <f>Produksi!F156</f>
        <v>9288.51</v>
      </c>
      <c r="E145" s="22">
        <f t="shared" si="4"/>
        <v>0</v>
      </c>
    </row>
    <row r="146" spans="1:5" x14ac:dyDescent="0.2">
      <c r="A146" s="34"/>
      <c r="B146" s="4" t="s">
        <v>148</v>
      </c>
      <c r="C146" s="53">
        <f>Produksi!F157</f>
        <v>617.46</v>
      </c>
      <c r="E146" s="22">
        <f t="shared" si="4"/>
        <v>0</v>
      </c>
    </row>
    <row r="147" spans="1:5" x14ac:dyDescent="0.2">
      <c r="A147" s="34"/>
      <c r="B147" s="4" t="s">
        <v>149</v>
      </c>
      <c r="C147" s="53">
        <f>Produksi!F158</f>
        <v>10233.75</v>
      </c>
      <c r="E147" s="22">
        <f t="shared" si="4"/>
        <v>0</v>
      </c>
    </row>
    <row r="148" spans="1:5" x14ac:dyDescent="0.2">
      <c r="A148" s="34"/>
      <c r="B148" s="4" t="s">
        <v>150</v>
      </c>
      <c r="C148" s="53">
        <f>Produksi!F159</f>
        <v>0</v>
      </c>
      <c r="E148" s="22">
        <f t="shared" si="4"/>
        <v>0</v>
      </c>
    </row>
    <row r="149" spans="1:5" x14ac:dyDescent="0.2">
      <c r="A149" s="34"/>
      <c r="B149" s="4" t="s">
        <v>151</v>
      </c>
      <c r="C149" s="53">
        <f>Produksi!F160</f>
        <v>600.47</v>
      </c>
      <c r="E149" s="22">
        <f t="shared" si="4"/>
        <v>0</v>
      </c>
    </row>
    <row r="150" spans="1:5" x14ac:dyDescent="0.2">
      <c r="A150" s="24"/>
      <c r="B150" s="4" t="s">
        <v>152</v>
      </c>
      <c r="C150" s="53">
        <f>Produksi!F161</f>
        <v>0</v>
      </c>
      <c r="E150" s="22">
        <f t="shared" si="4"/>
        <v>0</v>
      </c>
    </row>
    <row r="151" spans="1:5" x14ac:dyDescent="0.2">
      <c r="A151" s="34"/>
      <c r="B151" s="4" t="s">
        <v>153</v>
      </c>
      <c r="C151" s="53">
        <f>Produksi!F162</f>
        <v>0</v>
      </c>
      <c r="E151" s="22">
        <f t="shared" si="4"/>
        <v>0</v>
      </c>
    </row>
    <row r="152" spans="1:5" x14ac:dyDescent="0.2">
      <c r="A152" s="24"/>
      <c r="B152" s="4" t="s">
        <v>154</v>
      </c>
      <c r="C152" s="53">
        <f>Produksi!F163</f>
        <v>0</v>
      </c>
      <c r="E152" s="22">
        <f t="shared" si="4"/>
        <v>0</v>
      </c>
    </row>
    <row r="153" spans="1:5" ht="22.5" x14ac:dyDescent="0.2">
      <c r="A153" s="23"/>
      <c r="B153" s="17" t="s">
        <v>155</v>
      </c>
      <c r="C153" s="53">
        <f>Produksi!F164</f>
        <v>0</v>
      </c>
      <c r="E153" s="22">
        <f t="shared" si="4"/>
        <v>0</v>
      </c>
    </row>
    <row r="154" spans="1:5" x14ac:dyDescent="0.2">
      <c r="A154" s="29"/>
      <c r="B154" s="18" t="s">
        <v>156</v>
      </c>
      <c r="C154" s="53">
        <f>Produksi!F165</f>
        <v>0</v>
      </c>
      <c r="E154" s="22">
        <f t="shared" si="4"/>
        <v>0</v>
      </c>
    </row>
    <row r="155" spans="1:5" x14ac:dyDescent="0.2">
      <c r="A155" s="29"/>
      <c r="B155" s="18" t="s">
        <v>28</v>
      </c>
      <c r="C155" s="53">
        <f>Produksi!F166</f>
        <v>0</v>
      </c>
      <c r="E155" s="22">
        <f t="shared" si="4"/>
        <v>0</v>
      </c>
    </row>
    <row r="156" spans="1:5" x14ac:dyDescent="0.2">
      <c r="A156" s="29"/>
      <c r="B156" s="18" t="s">
        <v>29</v>
      </c>
      <c r="C156" s="53">
        <f>Produksi!F167</f>
        <v>0</v>
      </c>
      <c r="E156" s="22">
        <f t="shared" si="4"/>
        <v>0</v>
      </c>
    </row>
    <row r="157" spans="1:5" x14ac:dyDescent="0.2">
      <c r="A157" s="29"/>
      <c r="B157" s="18" t="s">
        <v>30</v>
      </c>
      <c r="C157" s="53">
        <f>Produksi!F168</f>
        <v>0</v>
      </c>
      <c r="E157" s="22">
        <f t="shared" si="4"/>
        <v>0</v>
      </c>
    </row>
    <row r="158" spans="1:5" x14ac:dyDescent="0.2">
      <c r="A158" s="29"/>
      <c r="B158" s="18" t="s">
        <v>31</v>
      </c>
      <c r="C158" s="53">
        <f>Produksi!F169</f>
        <v>0</v>
      </c>
      <c r="E158" s="22">
        <f t="shared" si="4"/>
        <v>0</v>
      </c>
    </row>
    <row r="159" spans="1:5" x14ac:dyDescent="0.2">
      <c r="A159" s="29"/>
      <c r="B159" s="18" t="s">
        <v>32</v>
      </c>
      <c r="C159" s="53">
        <f>Produksi!F170</f>
        <v>0</v>
      </c>
      <c r="E159" s="22">
        <f t="shared" si="4"/>
        <v>0</v>
      </c>
    </row>
    <row r="160" spans="1:5" x14ac:dyDescent="0.2">
      <c r="A160" s="29"/>
      <c r="B160" s="18" t="s">
        <v>33</v>
      </c>
      <c r="C160" s="53">
        <f>Produksi!F171</f>
        <v>103.33</v>
      </c>
      <c r="E160" s="22">
        <f t="shared" si="4"/>
        <v>0</v>
      </c>
    </row>
    <row r="161" spans="1:5" x14ac:dyDescent="0.2">
      <c r="A161" s="24"/>
      <c r="B161" s="20" t="s">
        <v>34</v>
      </c>
      <c r="C161" s="53">
        <f>Produksi!F172</f>
        <v>0</v>
      </c>
      <c r="E161" s="22">
        <f t="shared" si="4"/>
        <v>0</v>
      </c>
    </row>
    <row r="162" spans="1:5" x14ac:dyDescent="0.2">
      <c r="A162" s="24"/>
      <c r="B162" s="20" t="s">
        <v>35</v>
      </c>
      <c r="C162" s="53">
        <f>Produksi!F173</f>
        <v>0</v>
      </c>
      <c r="E162" s="22">
        <f t="shared" si="4"/>
        <v>0</v>
      </c>
    </row>
    <row r="163" spans="1:5" x14ac:dyDescent="0.2">
      <c r="A163" s="24"/>
      <c r="B163" s="20" t="s">
        <v>36</v>
      </c>
      <c r="C163" s="53">
        <f>Produksi!F174</f>
        <v>0</v>
      </c>
      <c r="E163" s="22">
        <f t="shared" si="4"/>
        <v>0</v>
      </c>
    </row>
    <row r="164" spans="1:5" x14ac:dyDescent="0.2">
      <c r="A164" s="24"/>
      <c r="B164" s="20" t="s">
        <v>37</v>
      </c>
      <c r="C164" s="53">
        <f>Produksi!F175</f>
        <v>0</v>
      </c>
      <c r="E164" s="22">
        <f t="shared" si="4"/>
        <v>0</v>
      </c>
    </row>
    <row r="165" spans="1:5" x14ac:dyDescent="0.2">
      <c r="A165" s="24"/>
      <c r="B165" s="20" t="s">
        <v>38</v>
      </c>
      <c r="C165" s="53">
        <f>Produksi!F176</f>
        <v>0</v>
      </c>
      <c r="E165" s="22">
        <f t="shared" si="4"/>
        <v>0</v>
      </c>
    </row>
    <row r="166" spans="1:5" x14ac:dyDescent="0.2">
      <c r="A166" s="34"/>
      <c r="B166" s="4" t="s">
        <v>157</v>
      </c>
      <c r="C166" s="53">
        <f>Produksi!F177</f>
        <v>1800.55</v>
      </c>
      <c r="E166" s="22">
        <f t="shared" si="4"/>
        <v>0</v>
      </c>
    </row>
    <row r="167" spans="1:5" x14ac:dyDescent="0.2">
      <c r="A167" s="35"/>
      <c r="B167" s="4"/>
      <c r="C167" s="53">
        <f>Produksi!F178</f>
        <v>0</v>
      </c>
      <c r="E167" s="22">
        <f t="shared" ref="E167:E183" si="5">C167*D167</f>
        <v>0</v>
      </c>
    </row>
    <row r="168" spans="1:5" x14ac:dyDescent="0.2">
      <c r="A168" s="7" t="s">
        <v>39</v>
      </c>
      <c r="B168" s="4"/>
      <c r="C168" s="53">
        <f>Produksi!F179</f>
        <v>0</v>
      </c>
      <c r="E168" s="22">
        <f t="shared" si="5"/>
        <v>0</v>
      </c>
    </row>
    <row r="169" spans="1:5" x14ac:dyDescent="0.2">
      <c r="A169" s="6"/>
      <c r="B169" s="19" t="s">
        <v>40</v>
      </c>
      <c r="C169" s="53">
        <f>Produksi!F180</f>
        <v>0</v>
      </c>
      <c r="E169" s="22">
        <f t="shared" si="5"/>
        <v>0</v>
      </c>
    </row>
    <row r="170" spans="1:5" x14ac:dyDescent="0.2">
      <c r="A170" s="23"/>
      <c r="B170" s="3" t="s">
        <v>158</v>
      </c>
      <c r="C170" s="53">
        <f>Produksi!F181</f>
        <v>0</v>
      </c>
      <c r="E170" s="22">
        <f t="shared" si="5"/>
        <v>0</v>
      </c>
    </row>
    <row r="171" spans="1:5" x14ac:dyDescent="0.2">
      <c r="A171" s="23"/>
      <c r="B171" s="3" t="s">
        <v>159</v>
      </c>
      <c r="C171" s="53">
        <f>Produksi!F182</f>
        <v>0</v>
      </c>
      <c r="E171" s="22">
        <f t="shared" si="5"/>
        <v>0</v>
      </c>
    </row>
    <row r="172" spans="1:5" x14ac:dyDescent="0.2">
      <c r="A172" s="23"/>
      <c r="B172" s="3" t="s">
        <v>160</v>
      </c>
      <c r="C172" s="53">
        <f>Produksi!F183</f>
        <v>0</v>
      </c>
      <c r="E172" s="22">
        <f t="shared" si="5"/>
        <v>0</v>
      </c>
    </row>
    <row r="173" spans="1:5" x14ac:dyDescent="0.2">
      <c r="A173" s="23"/>
      <c r="B173" s="20" t="s">
        <v>41</v>
      </c>
      <c r="C173" s="53">
        <f>Produksi!F184</f>
        <v>0</v>
      </c>
      <c r="E173" s="22">
        <f t="shared" si="5"/>
        <v>0</v>
      </c>
    </row>
    <row r="174" spans="1:5" x14ac:dyDescent="0.2">
      <c r="A174" s="23"/>
      <c r="B174" s="20" t="s">
        <v>42</v>
      </c>
      <c r="C174" s="53">
        <f>Produksi!F185</f>
        <v>0</v>
      </c>
      <c r="E174" s="22">
        <f t="shared" si="5"/>
        <v>0</v>
      </c>
    </row>
    <row r="175" spans="1:5" x14ac:dyDescent="0.2">
      <c r="A175" s="23"/>
      <c r="B175" s="20" t="s">
        <v>43</v>
      </c>
      <c r="C175" s="53">
        <f>Produksi!F186</f>
        <v>0</v>
      </c>
      <c r="E175" s="22">
        <f t="shared" si="5"/>
        <v>0</v>
      </c>
    </row>
    <row r="176" spans="1:5" x14ac:dyDescent="0.2">
      <c r="A176" s="23"/>
      <c r="B176" s="20" t="s">
        <v>44</v>
      </c>
      <c r="C176" s="53">
        <f>Produksi!F187</f>
        <v>0</v>
      </c>
      <c r="E176" s="22">
        <f t="shared" si="5"/>
        <v>0</v>
      </c>
    </row>
    <row r="177" spans="1:5" x14ac:dyDescent="0.2">
      <c r="A177" s="23"/>
      <c r="B177" s="21"/>
      <c r="C177" s="53">
        <f>Produksi!F188</f>
        <v>0</v>
      </c>
      <c r="E177" s="22">
        <f t="shared" si="5"/>
        <v>0</v>
      </c>
    </row>
    <row r="178" spans="1:5" x14ac:dyDescent="0.2">
      <c r="A178" s="24"/>
      <c r="B178" s="4" t="s">
        <v>161</v>
      </c>
      <c r="C178" s="53">
        <f>Produksi!F189</f>
        <v>117.91468295006402</v>
      </c>
      <c r="E178" s="22">
        <f t="shared" si="5"/>
        <v>0</v>
      </c>
    </row>
    <row r="179" spans="1:5" x14ac:dyDescent="0.2">
      <c r="A179" s="24"/>
      <c r="B179" s="4" t="s">
        <v>162</v>
      </c>
      <c r="C179" s="53">
        <f>Produksi!F190</f>
        <v>9.0188264055307599</v>
      </c>
      <c r="E179" s="22">
        <f t="shared" si="5"/>
        <v>0</v>
      </c>
    </row>
    <row r="180" spans="1:5" x14ac:dyDescent="0.2">
      <c r="A180" s="24"/>
      <c r="B180" s="4" t="s">
        <v>163</v>
      </c>
      <c r="C180" s="53">
        <f>Produksi!F191</f>
        <v>5.0385487346193996</v>
      </c>
      <c r="E180" s="22">
        <f t="shared" si="5"/>
        <v>0</v>
      </c>
    </row>
    <row r="181" spans="1:5" x14ac:dyDescent="0.2">
      <c r="A181" s="34"/>
      <c r="B181" s="4" t="s">
        <v>164</v>
      </c>
      <c r="C181" s="53">
        <f>Produksi!F192</f>
        <v>0</v>
      </c>
      <c r="E181" s="22">
        <f t="shared" si="5"/>
        <v>0</v>
      </c>
    </row>
    <row r="182" spans="1:5" x14ac:dyDescent="0.2">
      <c r="A182" s="23"/>
      <c r="B182" s="4" t="s">
        <v>165</v>
      </c>
      <c r="C182" s="53">
        <f>Produksi!F193</f>
        <v>0</v>
      </c>
      <c r="E182" s="22">
        <f t="shared" si="5"/>
        <v>0</v>
      </c>
    </row>
    <row r="183" spans="1:5" x14ac:dyDescent="0.2">
      <c r="A183" s="36"/>
      <c r="B183" s="37"/>
      <c r="C183" s="53" t="e">
        <f>Produksi!#REF!</f>
        <v>#REF!</v>
      </c>
      <c r="E183" s="22" t="e">
        <f t="shared" si="5"/>
        <v>#REF!</v>
      </c>
    </row>
  </sheetData>
  <mergeCells count="8">
    <mergeCell ref="A1:F1"/>
    <mergeCell ref="A2:F2"/>
    <mergeCell ref="A4:B4"/>
    <mergeCell ref="F4:F5"/>
    <mergeCell ref="A5:B5"/>
    <mergeCell ref="D4:D5"/>
    <mergeCell ref="E4:E5"/>
    <mergeCell ref="C4:C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workbookViewId="0">
      <selection activeCell="D7" sqref="D7:D182"/>
    </sheetView>
  </sheetViews>
  <sheetFormatPr defaultColWidth="8.85546875" defaultRowHeight="11.25" x14ac:dyDescent="0.2"/>
  <cols>
    <col min="1" max="1" width="2.7109375" style="22" customWidth="1"/>
    <col min="2" max="2" width="31" style="22" bestFit="1" customWidth="1"/>
    <col min="3" max="3" width="16.28515625" style="22" customWidth="1"/>
    <col min="4" max="4" width="11.85546875" style="22" customWidth="1"/>
    <col min="5" max="5" width="16.5703125" style="22" customWidth="1"/>
    <col min="6" max="6" width="28.28515625" style="22" customWidth="1"/>
    <col min="7" max="16384" width="8.85546875" style="22"/>
  </cols>
  <sheetData>
    <row r="1" spans="1:6" x14ac:dyDescent="0.2">
      <c r="A1" s="777" t="s">
        <v>219</v>
      </c>
      <c r="B1" s="777"/>
      <c r="C1" s="777"/>
      <c r="D1" s="249"/>
      <c r="E1" s="249"/>
    </row>
    <row r="2" spans="1:6" x14ac:dyDescent="0.2">
      <c r="A2" s="777" t="s">
        <v>1</v>
      </c>
      <c r="B2" s="777"/>
      <c r="C2" s="777"/>
      <c r="D2" s="249"/>
      <c r="E2" s="249"/>
    </row>
    <row r="4" spans="1:6" ht="14.45" customHeight="1" x14ac:dyDescent="0.2">
      <c r="A4" s="778" t="s">
        <v>48</v>
      </c>
      <c r="B4" s="778"/>
      <c r="C4" s="778" t="s">
        <v>221</v>
      </c>
      <c r="D4" s="778" t="s">
        <v>46</v>
      </c>
      <c r="E4" s="778" t="s">
        <v>223</v>
      </c>
      <c r="F4" s="778"/>
    </row>
    <row r="5" spans="1:6" ht="14.45" customHeight="1" x14ac:dyDescent="0.2">
      <c r="A5" s="779" t="s">
        <v>49</v>
      </c>
      <c r="B5" s="779"/>
      <c r="C5" s="778"/>
      <c r="D5" s="778"/>
      <c r="E5" s="778"/>
      <c r="F5" s="778"/>
    </row>
    <row r="6" spans="1:6" x14ac:dyDescent="0.2">
      <c r="A6" s="1" t="s">
        <v>50</v>
      </c>
      <c r="B6" s="2"/>
    </row>
    <row r="7" spans="1:6" x14ac:dyDescent="0.2">
      <c r="A7" s="39"/>
      <c r="B7" s="40" t="s">
        <v>172</v>
      </c>
    </row>
    <row r="8" spans="1:6" x14ac:dyDescent="0.2">
      <c r="A8" s="23"/>
      <c r="B8" s="3" t="s">
        <v>168</v>
      </c>
    </row>
    <row r="9" spans="1:6" x14ac:dyDescent="0.2">
      <c r="A9" s="24"/>
      <c r="B9" s="4" t="s">
        <v>51</v>
      </c>
    </row>
    <row r="10" spans="1:6" x14ac:dyDescent="0.2">
      <c r="A10" s="23"/>
      <c r="B10" s="3" t="s">
        <v>52</v>
      </c>
    </row>
    <row r="11" spans="1:6" x14ac:dyDescent="0.2">
      <c r="A11" s="24"/>
      <c r="B11" s="4" t="s">
        <v>53</v>
      </c>
      <c r="D11" s="250">
        <v>1</v>
      </c>
    </row>
    <row r="12" spans="1:6" x14ac:dyDescent="0.2">
      <c r="A12" s="23"/>
      <c r="B12" s="3" t="s">
        <v>54</v>
      </c>
    </row>
    <row r="13" spans="1:6" x14ac:dyDescent="0.2">
      <c r="A13" s="23"/>
      <c r="B13" s="4"/>
    </row>
    <row r="14" spans="1:6" x14ac:dyDescent="0.2">
      <c r="A14" s="5" t="s">
        <v>55</v>
      </c>
      <c r="B14" s="3"/>
    </row>
    <row r="15" spans="1:6" x14ac:dyDescent="0.2">
      <c r="A15" s="24"/>
      <c r="B15" s="4" t="s">
        <v>56</v>
      </c>
    </row>
    <row r="16" spans="1:6" x14ac:dyDescent="0.2">
      <c r="A16" s="24"/>
      <c r="B16" s="4" t="s">
        <v>57</v>
      </c>
    </row>
    <row r="17" spans="1:2" x14ac:dyDescent="0.2">
      <c r="A17" s="23"/>
      <c r="B17" s="3" t="s">
        <v>58</v>
      </c>
    </row>
    <row r="18" spans="1:2" x14ac:dyDescent="0.2">
      <c r="A18" s="23"/>
      <c r="B18" s="3"/>
    </row>
    <row r="19" spans="1:2" x14ac:dyDescent="0.2">
      <c r="A19" s="6" t="s">
        <v>59</v>
      </c>
      <c r="B19" s="4"/>
    </row>
    <row r="20" spans="1:2" x14ac:dyDescent="0.2">
      <c r="A20" s="24"/>
      <c r="B20" s="4" t="s">
        <v>60</v>
      </c>
    </row>
    <row r="21" spans="1:2" x14ac:dyDescent="0.2">
      <c r="A21" s="24"/>
      <c r="B21" s="4" t="s">
        <v>61</v>
      </c>
    </row>
    <row r="22" spans="1:2" x14ac:dyDescent="0.2">
      <c r="A22" s="23"/>
      <c r="B22" s="4"/>
    </row>
    <row r="23" spans="1:2" x14ac:dyDescent="0.2">
      <c r="A23" s="7" t="s">
        <v>2</v>
      </c>
      <c r="B23" s="8"/>
    </row>
    <row r="24" spans="1:2" x14ac:dyDescent="0.2">
      <c r="A24" s="6"/>
      <c r="B24" s="9" t="s">
        <v>3</v>
      </c>
    </row>
    <row r="25" spans="1:2" x14ac:dyDescent="0.2">
      <c r="A25" s="23"/>
      <c r="B25" s="3" t="s">
        <v>62</v>
      </c>
    </row>
    <row r="26" spans="1:2" x14ac:dyDescent="0.2">
      <c r="A26" s="23"/>
      <c r="B26" s="3" t="s">
        <v>63</v>
      </c>
    </row>
    <row r="27" spans="1:2" x14ac:dyDescent="0.2">
      <c r="A27" s="24"/>
      <c r="B27" s="4" t="s">
        <v>64</v>
      </c>
    </row>
    <row r="28" spans="1:2" x14ac:dyDescent="0.2">
      <c r="A28" s="24"/>
      <c r="B28" s="4" t="s">
        <v>65</v>
      </c>
    </row>
    <row r="29" spans="1:2" x14ac:dyDescent="0.2">
      <c r="A29" s="23"/>
      <c r="B29" s="3" t="s">
        <v>66</v>
      </c>
    </row>
    <row r="30" spans="1:2" x14ac:dyDescent="0.2">
      <c r="A30" s="23"/>
      <c r="B30" s="3" t="s">
        <v>67</v>
      </c>
    </row>
    <row r="31" spans="1:2" x14ac:dyDescent="0.2">
      <c r="A31" s="24"/>
      <c r="B31" s="4"/>
    </row>
    <row r="32" spans="1:2" x14ac:dyDescent="0.2">
      <c r="A32" s="6" t="s">
        <v>68</v>
      </c>
      <c r="B32" s="4"/>
    </row>
    <row r="33" spans="1:2" x14ac:dyDescent="0.2">
      <c r="A33" s="24"/>
      <c r="B33" s="10" t="s">
        <v>69</v>
      </c>
    </row>
    <row r="34" spans="1:2" x14ac:dyDescent="0.2">
      <c r="A34" s="24"/>
      <c r="B34" s="10" t="s">
        <v>70</v>
      </c>
    </row>
    <row r="35" spans="1:2" x14ac:dyDescent="0.2">
      <c r="A35" s="24"/>
      <c r="B35" s="10" t="s">
        <v>71</v>
      </c>
    </row>
    <row r="36" spans="1:2" x14ac:dyDescent="0.2">
      <c r="A36" s="24"/>
      <c r="B36" s="10" t="s">
        <v>72</v>
      </c>
    </row>
    <row r="37" spans="1:2" x14ac:dyDescent="0.2">
      <c r="A37" s="24"/>
      <c r="B37" s="10" t="s">
        <v>73</v>
      </c>
    </row>
    <row r="38" spans="1:2" x14ac:dyDescent="0.2">
      <c r="A38" s="24"/>
      <c r="B38" s="10" t="s">
        <v>74</v>
      </c>
    </row>
    <row r="39" spans="1:2" x14ac:dyDescent="0.2">
      <c r="A39" s="24"/>
      <c r="B39" s="10" t="s">
        <v>75</v>
      </c>
    </row>
    <row r="40" spans="1:2" x14ac:dyDescent="0.2">
      <c r="A40" s="24"/>
      <c r="B40" s="10" t="s">
        <v>76</v>
      </c>
    </row>
    <row r="41" spans="1:2" x14ac:dyDescent="0.2">
      <c r="A41" s="24"/>
      <c r="B41" s="10" t="s">
        <v>77</v>
      </c>
    </row>
    <row r="42" spans="1:2" x14ac:dyDescent="0.2">
      <c r="A42" s="24"/>
      <c r="B42" s="10" t="s">
        <v>78</v>
      </c>
    </row>
    <row r="43" spans="1:2" x14ac:dyDescent="0.2">
      <c r="A43" s="24"/>
      <c r="B43" s="10" t="s">
        <v>79</v>
      </c>
    </row>
    <row r="44" spans="1:2" x14ac:dyDescent="0.2">
      <c r="A44" s="24"/>
      <c r="B44" s="10" t="s">
        <v>80</v>
      </c>
    </row>
    <row r="45" spans="1:2" x14ac:dyDescent="0.2">
      <c r="A45" s="24"/>
      <c r="B45" s="10" t="s">
        <v>81</v>
      </c>
    </row>
    <row r="46" spans="1:2" x14ac:dyDescent="0.2">
      <c r="A46" s="24"/>
      <c r="B46" s="10" t="s">
        <v>4</v>
      </c>
    </row>
    <row r="47" spans="1:2" x14ac:dyDescent="0.2">
      <c r="A47" s="24"/>
      <c r="B47" s="10" t="s">
        <v>82</v>
      </c>
    </row>
    <row r="48" spans="1:2" x14ac:dyDescent="0.2">
      <c r="A48" s="24"/>
      <c r="B48" s="10" t="s">
        <v>83</v>
      </c>
    </row>
    <row r="49" spans="1:2" x14ac:dyDescent="0.2">
      <c r="A49" s="24"/>
      <c r="B49" s="10" t="s">
        <v>84</v>
      </c>
    </row>
    <row r="50" spans="1:2" x14ac:dyDescent="0.2">
      <c r="A50" s="24"/>
      <c r="B50" s="10" t="s">
        <v>85</v>
      </c>
    </row>
    <row r="51" spans="1:2" x14ac:dyDescent="0.2">
      <c r="A51" s="24"/>
      <c r="B51" s="10" t="s">
        <v>86</v>
      </c>
    </row>
    <row r="52" spans="1:2" x14ac:dyDescent="0.2">
      <c r="A52" s="24"/>
      <c r="B52" s="10" t="s">
        <v>87</v>
      </c>
    </row>
    <row r="53" spans="1:2" x14ac:dyDescent="0.2">
      <c r="A53" s="24"/>
      <c r="B53" s="10" t="s">
        <v>88</v>
      </c>
    </row>
    <row r="54" spans="1:2" x14ac:dyDescent="0.2">
      <c r="A54" s="24"/>
      <c r="B54" s="10" t="s">
        <v>89</v>
      </c>
    </row>
    <row r="55" spans="1:2" x14ac:dyDescent="0.2">
      <c r="A55" s="24"/>
      <c r="B55" s="10" t="s">
        <v>90</v>
      </c>
    </row>
    <row r="56" spans="1:2" x14ac:dyDescent="0.2">
      <c r="A56" s="24"/>
      <c r="B56" s="10" t="s">
        <v>91</v>
      </c>
    </row>
    <row r="57" spans="1:2" x14ac:dyDescent="0.2">
      <c r="A57" s="23"/>
      <c r="B57" s="10" t="s">
        <v>92</v>
      </c>
    </row>
    <row r="58" spans="1:2" x14ac:dyDescent="0.2">
      <c r="A58" s="25"/>
      <c r="B58" s="11" t="s">
        <v>5</v>
      </c>
    </row>
    <row r="59" spans="1:2" x14ac:dyDescent="0.2">
      <c r="A59" s="25"/>
      <c r="B59" s="11" t="s">
        <v>6</v>
      </c>
    </row>
    <row r="60" spans="1:2" x14ac:dyDescent="0.2">
      <c r="A60" s="25"/>
      <c r="B60" s="11" t="s">
        <v>7</v>
      </c>
    </row>
    <row r="61" spans="1:2" x14ac:dyDescent="0.2">
      <c r="A61" s="25"/>
      <c r="B61" s="11" t="s">
        <v>93</v>
      </c>
    </row>
    <row r="62" spans="1:2" x14ac:dyDescent="0.2">
      <c r="A62" s="25"/>
      <c r="B62" s="11" t="s">
        <v>8</v>
      </c>
    </row>
    <row r="63" spans="1:2" x14ac:dyDescent="0.2">
      <c r="A63" s="25"/>
      <c r="B63" s="11" t="s">
        <v>9</v>
      </c>
    </row>
    <row r="64" spans="1:2" x14ac:dyDescent="0.2">
      <c r="A64" s="25"/>
      <c r="B64" s="11" t="s">
        <v>10</v>
      </c>
    </row>
    <row r="65" spans="1:2" x14ac:dyDescent="0.2">
      <c r="A65" s="25"/>
      <c r="B65" s="11" t="s">
        <v>11</v>
      </c>
    </row>
    <row r="66" spans="1:2" x14ac:dyDescent="0.2">
      <c r="A66" s="25"/>
      <c r="B66" s="11" t="s">
        <v>12</v>
      </c>
    </row>
    <row r="67" spans="1:2" x14ac:dyDescent="0.2">
      <c r="A67" s="25"/>
      <c r="B67" s="11" t="s">
        <v>13</v>
      </c>
    </row>
    <row r="68" spans="1:2" x14ac:dyDescent="0.2">
      <c r="A68" s="25"/>
      <c r="B68" s="11" t="s">
        <v>14</v>
      </c>
    </row>
    <row r="69" spans="1:2" x14ac:dyDescent="0.2">
      <c r="A69" s="25"/>
      <c r="B69" s="11" t="s">
        <v>15</v>
      </c>
    </row>
    <row r="70" spans="1:2" x14ac:dyDescent="0.2">
      <c r="A70" s="26"/>
      <c r="B70" s="27" t="s">
        <v>16</v>
      </c>
    </row>
    <row r="71" spans="1:2" x14ac:dyDescent="0.2">
      <c r="A71" s="26"/>
      <c r="B71" s="27" t="s">
        <v>17</v>
      </c>
    </row>
    <row r="72" spans="1:2" x14ac:dyDescent="0.2">
      <c r="A72" s="25"/>
      <c r="B72" s="11" t="s">
        <v>18</v>
      </c>
    </row>
    <row r="73" spans="1:2" x14ac:dyDescent="0.2">
      <c r="A73" s="25"/>
      <c r="B73" s="11"/>
    </row>
    <row r="74" spans="1:2" x14ac:dyDescent="0.2">
      <c r="A74" s="12" t="s">
        <v>19</v>
      </c>
      <c r="B74" s="3"/>
    </row>
    <row r="75" spans="1:2" x14ac:dyDescent="0.2">
      <c r="A75" s="23"/>
      <c r="B75" s="3" t="s">
        <v>94</v>
      </c>
    </row>
    <row r="76" spans="1:2" x14ac:dyDescent="0.2">
      <c r="A76" s="24"/>
      <c r="B76" s="10" t="s">
        <v>95</v>
      </c>
    </row>
    <row r="77" spans="1:2" x14ac:dyDescent="0.2">
      <c r="A77" s="23"/>
      <c r="B77" s="3" t="s">
        <v>96</v>
      </c>
    </row>
    <row r="78" spans="1:2" x14ac:dyDescent="0.2">
      <c r="A78" s="23"/>
      <c r="B78" s="3" t="s">
        <v>97</v>
      </c>
    </row>
    <row r="79" spans="1:2" x14ac:dyDescent="0.2">
      <c r="A79" s="24"/>
      <c r="B79" s="4" t="s">
        <v>98</v>
      </c>
    </row>
    <row r="80" spans="1:2" x14ac:dyDescent="0.2">
      <c r="A80" s="24"/>
      <c r="B80" s="10" t="s">
        <v>99</v>
      </c>
    </row>
    <row r="81" spans="1:2" x14ac:dyDescent="0.2">
      <c r="A81" s="24"/>
      <c r="B81" s="10" t="s">
        <v>100</v>
      </c>
    </row>
    <row r="82" spans="1:2" x14ac:dyDescent="0.2">
      <c r="A82" s="24"/>
      <c r="B82" s="10" t="s">
        <v>101</v>
      </c>
    </row>
    <row r="83" spans="1:2" x14ac:dyDescent="0.2">
      <c r="A83" s="24"/>
      <c r="B83" s="14" t="s">
        <v>166</v>
      </c>
    </row>
    <row r="84" spans="1:2" x14ac:dyDescent="0.2">
      <c r="A84" s="24"/>
      <c r="B84" s="14" t="s">
        <v>20</v>
      </c>
    </row>
    <row r="85" spans="1:2" x14ac:dyDescent="0.2">
      <c r="A85" s="24"/>
      <c r="B85" s="10" t="s">
        <v>102</v>
      </c>
    </row>
    <row r="86" spans="1:2" x14ac:dyDescent="0.2">
      <c r="A86" s="23"/>
      <c r="B86" s="13" t="s">
        <v>103</v>
      </c>
    </row>
    <row r="87" spans="1:2" x14ac:dyDescent="0.2">
      <c r="A87" s="24"/>
      <c r="B87" s="10" t="s">
        <v>104</v>
      </c>
    </row>
    <row r="88" spans="1:2" x14ac:dyDescent="0.2">
      <c r="A88" s="24"/>
      <c r="B88" s="10" t="s">
        <v>105</v>
      </c>
    </row>
    <row r="89" spans="1:2" x14ac:dyDescent="0.2">
      <c r="A89" s="24"/>
      <c r="B89" s="10" t="s">
        <v>106</v>
      </c>
    </row>
    <row r="90" spans="1:2" x14ac:dyDescent="0.2">
      <c r="A90" s="24"/>
      <c r="B90" s="10" t="s">
        <v>107</v>
      </c>
    </row>
    <row r="91" spans="1:2" x14ac:dyDescent="0.2">
      <c r="A91" s="24"/>
      <c r="B91" s="10" t="s">
        <v>108</v>
      </c>
    </row>
    <row r="92" spans="1:2" x14ac:dyDescent="0.2">
      <c r="A92" s="24"/>
      <c r="B92" s="10" t="s">
        <v>109</v>
      </c>
    </row>
    <row r="93" spans="1:2" x14ac:dyDescent="0.2">
      <c r="A93" s="28"/>
      <c r="B93" s="10" t="s">
        <v>110</v>
      </c>
    </row>
    <row r="94" spans="1:2" x14ac:dyDescent="0.2">
      <c r="A94" s="28"/>
      <c r="B94" s="10" t="s">
        <v>111</v>
      </c>
    </row>
    <row r="95" spans="1:2" x14ac:dyDescent="0.2">
      <c r="A95" s="28"/>
      <c r="B95" s="14" t="s">
        <v>167</v>
      </c>
    </row>
    <row r="96" spans="1:2" x14ac:dyDescent="0.2">
      <c r="A96" s="28"/>
      <c r="B96" s="14" t="s">
        <v>21</v>
      </c>
    </row>
    <row r="97" spans="1:2" x14ac:dyDescent="0.2">
      <c r="A97" s="28"/>
      <c r="B97" s="14" t="s">
        <v>22</v>
      </c>
    </row>
    <row r="98" spans="1:2" x14ac:dyDescent="0.2">
      <c r="A98" s="28"/>
      <c r="B98" s="10" t="s">
        <v>112</v>
      </c>
    </row>
    <row r="99" spans="1:2" x14ac:dyDescent="0.2">
      <c r="A99" s="28"/>
      <c r="B99" s="10" t="s">
        <v>113</v>
      </c>
    </row>
    <row r="100" spans="1:2" x14ac:dyDescent="0.2">
      <c r="A100" s="28"/>
      <c r="B100" s="10" t="s">
        <v>114</v>
      </c>
    </row>
    <row r="101" spans="1:2" x14ac:dyDescent="0.2">
      <c r="A101" s="28"/>
      <c r="B101" s="10" t="s">
        <v>115</v>
      </c>
    </row>
    <row r="102" spans="1:2" x14ac:dyDescent="0.2">
      <c r="A102" s="24"/>
      <c r="B102" s="14" t="s">
        <v>23</v>
      </c>
    </row>
    <row r="103" spans="1:2" x14ac:dyDescent="0.2">
      <c r="A103" s="29"/>
      <c r="B103" s="14" t="s">
        <v>24</v>
      </c>
    </row>
    <row r="104" spans="1:2" x14ac:dyDescent="0.2">
      <c r="A104" s="29"/>
      <c r="B104" s="14" t="s">
        <v>25</v>
      </c>
    </row>
    <row r="105" spans="1:2" x14ac:dyDescent="0.2">
      <c r="A105" s="29"/>
      <c r="B105" s="14" t="s">
        <v>26</v>
      </c>
    </row>
    <row r="106" spans="1:2" x14ac:dyDescent="0.2">
      <c r="A106" s="24"/>
      <c r="B106" s="30" t="s">
        <v>27</v>
      </c>
    </row>
    <row r="107" spans="1:2" x14ac:dyDescent="0.2">
      <c r="A107" s="29"/>
      <c r="B107" s="21" t="s">
        <v>173</v>
      </c>
    </row>
    <row r="108" spans="1:2" x14ac:dyDescent="0.2">
      <c r="A108" s="29"/>
      <c r="B108" s="21"/>
    </row>
    <row r="109" spans="1:2" x14ac:dyDescent="0.2">
      <c r="A109" s="15" t="s">
        <v>116</v>
      </c>
      <c r="B109" s="4"/>
    </row>
    <row r="110" spans="1:2" x14ac:dyDescent="0.2">
      <c r="A110" s="31"/>
      <c r="B110" s="4" t="s">
        <v>117</v>
      </c>
    </row>
    <row r="111" spans="1:2" x14ac:dyDescent="0.2">
      <c r="A111" s="31"/>
      <c r="B111" s="4" t="s">
        <v>118</v>
      </c>
    </row>
    <row r="112" spans="1:2" x14ac:dyDescent="0.2">
      <c r="A112" s="31"/>
      <c r="B112" s="4" t="s">
        <v>119</v>
      </c>
    </row>
    <row r="113" spans="1:2" x14ac:dyDescent="0.2">
      <c r="A113" s="31"/>
      <c r="B113" s="4" t="s">
        <v>120</v>
      </c>
    </row>
    <row r="114" spans="1:2" x14ac:dyDescent="0.2">
      <c r="A114" s="23"/>
      <c r="B114" s="3" t="s">
        <v>121</v>
      </c>
    </row>
    <row r="115" spans="1:2" x14ac:dyDescent="0.2">
      <c r="A115" s="31"/>
      <c r="B115" s="4" t="s">
        <v>122</v>
      </c>
    </row>
    <row r="116" spans="1:2" x14ac:dyDescent="0.2">
      <c r="A116" s="23"/>
      <c r="B116" s="3" t="s">
        <v>123</v>
      </c>
    </row>
    <row r="117" spans="1:2" x14ac:dyDescent="0.2">
      <c r="A117" s="23"/>
      <c r="B117" s="3" t="s">
        <v>124</v>
      </c>
    </row>
    <row r="118" spans="1:2" x14ac:dyDescent="0.2">
      <c r="A118" s="31"/>
      <c r="B118" s="4" t="s">
        <v>125</v>
      </c>
    </row>
    <row r="119" spans="1:2" x14ac:dyDescent="0.2">
      <c r="A119" s="32"/>
      <c r="B119" s="3" t="s">
        <v>126</v>
      </c>
    </row>
    <row r="120" spans="1:2" x14ac:dyDescent="0.2">
      <c r="A120" s="23"/>
      <c r="B120" s="3" t="s">
        <v>127</v>
      </c>
    </row>
    <row r="121" spans="1:2" x14ac:dyDescent="0.2">
      <c r="A121" s="33"/>
      <c r="B121" s="4"/>
    </row>
    <row r="122" spans="1:2" x14ac:dyDescent="0.2">
      <c r="A122" s="6" t="s">
        <v>128</v>
      </c>
      <c r="B122" s="4"/>
    </row>
    <row r="123" spans="1:2" x14ac:dyDescent="0.2">
      <c r="A123" s="23"/>
      <c r="B123" s="13" t="s">
        <v>129</v>
      </c>
    </row>
    <row r="124" spans="1:2" x14ac:dyDescent="0.2">
      <c r="A124" s="23"/>
      <c r="B124" s="13" t="s">
        <v>175</v>
      </c>
    </row>
    <row r="125" spans="1:2" x14ac:dyDescent="0.2">
      <c r="A125" s="24"/>
      <c r="B125" s="16" t="s">
        <v>130</v>
      </c>
    </row>
    <row r="126" spans="1:2" x14ac:dyDescent="0.2">
      <c r="A126" s="23"/>
      <c r="B126" s="16" t="s">
        <v>131</v>
      </c>
    </row>
    <row r="127" spans="1:2" x14ac:dyDescent="0.2">
      <c r="A127" s="23"/>
      <c r="B127" s="4"/>
    </row>
    <row r="128" spans="1:2" x14ac:dyDescent="0.2">
      <c r="A128" s="6" t="s">
        <v>132</v>
      </c>
      <c r="B128" s="4"/>
    </row>
    <row r="129" spans="1:2" x14ac:dyDescent="0.2">
      <c r="A129" s="24"/>
      <c r="B129" s="4" t="s">
        <v>133</v>
      </c>
    </row>
    <row r="130" spans="1:2" x14ac:dyDescent="0.2">
      <c r="A130" s="24"/>
      <c r="B130" s="4" t="s">
        <v>134</v>
      </c>
    </row>
    <row r="131" spans="1:2" x14ac:dyDescent="0.2">
      <c r="A131" s="23"/>
      <c r="B131" s="4"/>
    </row>
    <row r="132" spans="1:2" x14ac:dyDescent="0.2">
      <c r="A132" s="7" t="s">
        <v>135</v>
      </c>
      <c r="B132" s="4"/>
    </row>
    <row r="133" spans="1:2" x14ac:dyDescent="0.2">
      <c r="A133" s="25"/>
      <c r="B133" s="3" t="s">
        <v>174</v>
      </c>
    </row>
    <row r="134" spans="1:2" x14ac:dyDescent="0.2">
      <c r="A134" s="24"/>
      <c r="B134" s="4" t="s">
        <v>136</v>
      </c>
    </row>
    <row r="135" spans="1:2" x14ac:dyDescent="0.2">
      <c r="A135" s="24"/>
      <c r="B135" s="4" t="s">
        <v>137</v>
      </c>
    </row>
    <row r="136" spans="1:2" x14ac:dyDescent="0.2">
      <c r="A136" s="24"/>
      <c r="B136" s="4" t="s">
        <v>138</v>
      </c>
    </row>
    <row r="137" spans="1:2" x14ac:dyDescent="0.2">
      <c r="A137" s="24"/>
      <c r="B137" s="4" t="s">
        <v>139</v>
      </c>
    </row>
    <row r="138" spans="1:2" x14ac:dyDescent="0.2">
      <c r="A138" s="24"/>
      <c r="B138" s="4" t="s">
        <v>140</v>
      </c>
    </row>
    <row r="139" spans="1:2" x14ac:dyDescent="0.2">
      <c r="A139" s="24"/>
      <c r="B139" s="4" t="s">
        <v>141</v>
      </c>
    </row>
    <row r="140" spans="1:2" x14ac:dyDescent="0.2">
      <c r="A140" s="23"/>
      <c r="B140" s="3" t="s">
        <v>142</v>
      </c>
    </row>
    <row r="141" spans="1:2" x14ac:dyDescent="0.2">
      <c r="A141" s="24"/>
      <c r="B141" s="4" t="s">
        <v>143</v>
      </c>
    </row>
    <row r="142" spans="1:2" x14ac:dyDescent="0.2">
      <c r="A142" s="34"/>
      <c r="B142" s="4" t="s">
        <v>144</v>
      </c>
    </row>
    <row r="143" spans="1:2" x14ac:dyDescent="0.2">
      <c r="A143" s="24"/>
      <c r="B143" s="4" t="s">
        <v>145</v>
      </c>
    </row>
    <row r="144" spans="1:2" x14ac:dyDescent="0.2">
      <c r="A144" s="34"/>
      <c r="B144" s="4" t="s">
        <v>146</v>
      </c>
    </row>
    <row r="145" spans="1:2" x14ac:dyDescent="0.2">
      <c r="A145" s="34"/>
      <c r="B145" s="4" t="s">
        <v>147</v>
      </c>
    </row>
    <row r="146" spans="1:2" x14ac:dyDescent="0.2">
      <c r="A146" s="34"/>
      <c r="B146" s="4" t="s">
        <v>148</v>
      </c>
    </row>
    <row r="147" spans="1:2" x14ac:dyDescent="0.2">
      <c r="A147" s="34"/>
      <c r="B147" s="4" t="s">
        <v>149</v>
      </c>
    </row>
    <row r="148" spans="1:2" x14ac:dyDescent="0.2">
      <c r="A148" s="34"/>
      <c r="B148" s="4" t="s">
        <v>150</v>
      </c>
    </row>
    <row r="149" spans="1:2" x14ac:dyDescent="0.2">
      <c r="A149" s="34"/>
      <c r="B149" s="4" t="s">
        <v>151</v>
      </c>
    </row>
    <row r="150" spans="1:2" x14ac:dyDescent="0.2">
      <c r="A150" s="24"/>
      <c r="B150" s="4" t="s">
        <v>152</v>
      </c>
    </row>
    <row r="151" spans="1:2" x14ac:dyDescent="0.2">
      <c r="A151" s="34"/>
      <c r="B151" s="4" t="s">
        <v>153</v>
      </c>
    </row>
    <row r="152" spans="1:2" x14ac:dyDescent="0.2">
      <c r="A152" s="24"/>
      <c r="B152" s="4" t="s">
        <v>154</v>
      </c>
    </row>
    <row r="153" spans="1:2" ht="22.5" x14ac:dyDescent="0.2">
      <c r="A153" s="23"/>
      <c r="B153" s="17" t="s">
        <v>155</v>
      </c>
    </row>
    <row r="154" spans="1:2" x14ac:dyDescent="0.2">
      <c r="A154" s="29"/>
      <c r="B154" s="18" t="s">
        <v>156</v>
      </c>
    </row>
    <row r="155" spans="1:2" x14ac:dyDescent="0.2">
      <c r="A155" s="29"/>
      <c r="B155" s="18" t="s">
        <v>28</v>
      </c>
    </row>
    <row r="156" spans="1:2" x14ac:dyDescent="0.2">
      <c r="A156" s="29"/>
      <c r="B156" s="18" t="s">
        <v>29</v>
      </c>
    </row>
    <row r="157" spans="1:2" x14ac:dyDescent="0.2">
      <c r="A157" s="29"/>
      <c r="B157" s="18" t="s">
        <v>30</v>
      </c>
    </row>
    <row r="158" spans="1:2" x14ac:dyDescent="0.2">
      <c r="A158" s="29"/>
      <c r="B158" s="18" t="s">
        <v>31</v>
      </c>
    </row>
    <row r="159" spans="1:2" x14ac:dyDescent="0.2">
      <c r="A159" s="29"/>
      <c r="B159" s="18" t="s">
        <v>32</v>
      </c>
    </row>
    <row r="160" spans="1:2" x14ac:dyDescent="0.2">
      <c r="A160" s="29"/>
      <c r="B160" s="18" t="s">
        <v>33</v>
      </c>
    </row>
    <row r="161" spans="1:2" x14ac:dyDescent="0.2">
      <c r="A161" s="24"/>
      <c r="B161" s="20" t="s">
        <v>34</v>
      </c>
    </row>
    <row r="162" spans="1:2" x14ac:dyDescent="0.2">
      <c r="A162" s="24"/>
      <c r="B162" s="20" t="s">
        <v>35</v>
      </c>
    </row>
    <row r="163" spans="1:2" x14ac:dyDescent="0.2">
      <c r="A163" s="24"/>
      <c r="B163" s="20" t="s">
        <v>36</v>
      </c>
    </row>
    <row r="164" spans="1:2" x14ac:dyDescent="0.2">
      <c r="A164" s="24"/>
      <c r="B164" s="20" t="s">
        <v>37</v>
      </c>
    </row>
    <row r="165" spans="1:2" x14ac:dyDescent="0.2">
      <c r="A165" s="24"/>
      <c r="B165" s="20" t="s">
        <v>38</v>
      </c>
    </row>
    <row r="166" spans="1:2" x14ac:dyDescent="0.2">
      <c r="A166" s="34"/>
      <c r="B166" s="4" t="s">
        <v>157</v>
      </c>
    </row>
    <row r="167" spans="1:2" x14ac:dyDescent="0.2">
      <c r="A167" s="35"/>
      <c r="B167" s="4"/>
    </row>
    <row r="168" spans="1:2" x14ac:dyDescent="0.2">
      <c r="A168" s="7" t="s">
        <v>39</v>
      </c>
      <c r="B168" s="4"/>
    </row>
    <row r="169" spans="1:2" x14ac:dyDescent="0.2">
      <c r="A169" s="6"/>
      <c r="B169" s="19" t="s">
        <v>40</v>
      </c>
    </row>
    <row r="170" spans="1:2" x14ac:dyDescent="0.2">
      <c r="A170" s="23"/>
      <c r="B170" s="3" t="s">
        <v>158</v>
      </c>
    </row>
    <row r="171" spans="1:2" x14ac:dyDescent="0.2">
      <c r="A171" s="23"/>
      <c r="B171" s="3" t="s">
        <v>159</v>
      </c>
    </row>
    <row r="172" spans="1:2" x14ac:dyDescent="0.2">
      <c r="A172" s="23"/>
      <c r="B172" s="3" t="s">
        <v>160</v>
      </c>
    </row>
    <row r="173" spans="1:2" x14ac:dyDescent="0.2">
      <c r="A173" s="23"/>
      <c r="B173" s="20" t="s">
        <v>41</v>
      </c>
    </row>
    <row r="174" spans="1:2" x14ac:dyDescent="0.2">
      <c r="A174" s="23"/>
      <c r="B174" s="20" t="s">
        <v>42</v>
      </c>
    </row>
    <row r="175" spans="1:2" x14ac:dyDescent="0.2">
      <c r="A175" s="23"/>
      <c r="B175" s="20" t="s">
        <v>43</v>
      </c>
    </row>
    <row r="176" spans="1:2" x14ac:dyDescent="0.2">
      <c r="A176" s="23"/>
      <c r="B176" s="20" t="s">
        <v>44</v>
      </c>
    </row>
    <row r="177" spans="1:2" x14ac:dyDescent="0.2">
      <c r="A177" s="23"/>
      <c r="B177" s="21"/>
    </row>
    <row r="178" spans="1:2" x14ac:dyDescent="0.2">
      <c r="A178" s="24"/>
      <c r="B178" s="4" t="s">
        <v>161</v>
      </c>
    </row>
    <row r="179" spans="1:2" x14ac:dyDescent="0.2">
      <c r="A179" s="24"/>
      <c r="B179" s="4" t="s">
        <v>162</v>
      </c>
    </row>
    <row r="180" spans="1:2" x14ac:dyDescent="0.2">
      <c r="A180" s="24"/>
      <c r="B180" s="4" t="s">
        <v>163</v>
      </c>
    </row>
    <row r="181" spans="1:2" x14ac:dyDescent="0.2">
      <c r="A181" s="34"/>
      <c r="B181" s="4" t="s">
        <v>164</v>
      </c>
    </row>
    <row r="182" spans="1:2" x14ac:dyDescent="0.2">
      <c r="A182" s="23"/>
      <c r="B182" s="4" t="s">
        <v>165</v>
      </c>
    </row>
    <row r="183" spans="1:2" x14ac:dyDescent="0.2">
      <c r="A183" s="36"/>
      <c r="B183" s="37"/>
    </row>
  </sheetData>
  <mergeCells count="8">
    <mergeCell ref="A1:C1"/>
    <mergeCell ref="D4:D5"/>
    <mergeCell ref="E4:E5"/>
    <mergeCell ref="A4:B4"/>
    <mergeCell ref="F4:F5"/>
    <mergeCell ref="A5:B5"/>
    <mergeCell ref="C4:C5"/>
    <mergeCell ref="A2:C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"/>
  <sheetViews>
    <sheetView topLeftCell="B1" workbookViewId="0">
      <selection activeCell="D7" sqref="D7:D182"/>
    </sheetView>
  </sheetViews>
  <sheetFormatPr defaultColWidth="8.85546875" defaultRowHeight="11.25" x14ac:dyDescent="0.2"/>
  <cols>
    <col min="1" max="1" width="2.7109375" style="22" customWidth="1"/>
    <col min="2" max="2" width="31" style="22" bestFit="1" customWidth="1"/>
    <col min="3" max="3" width="13.7109375" style="22" customWidth="1"/>
    <col min="4" max="4" width="16.28515625" style="22" customWidth="1"/>
    <col min="5" max="5" width="20.42578125" style="22" bestFit="1" customWidth="1"/>
    <col min="6" max="6" width="16.5703125" style="22" customWidth="1"/>
    <col min="7" max="7" width="28.28515625" style="22" customWidth="1"/>
    <col min="8" max="16384" width="8.85546875" style="22"/>
  </cols>
  <sheetData>
    <row r="1" spans="1:7" x14ac:dyDescent="0.2">
      <c r="A1" s="777" t="s">
        <v>220</v>
      </c>
      <c r="B1" s="777"/>
      <c r="C1" s="777"/>
      <c r="D1" s="777"/>
      <c r="E1" s="777"/>
      <c r="F1" s="777"/>
    </row>
    <row r="2" spans="1:7" x14ac:dyDescent="0.2">
      <c r="A2" s="777" t="s">
        <v>1</v>
      </c>
      <c r="B2" s="777"/>
      <c r="C2" s="777"/>
      <c r="D2" s="777"/>
      <c r="E2" s="777"/>
      <c r="F2" s="777"/>
    </row>
    <row r="4" spans="1:7" ht="14.45" customHeight="1" x14ac:dyDescent="0.2">
      <c r="A4" s="778" t="s">
        <v>48</v>
      </c>
      <c r="B4" s="778"/>
      <c r="C4" s="38"/>
      <c r="D4" s="38"/>
      <c r="E4" s="38"/>
      <c r="F4" s="38"/>
      <c r="G4" s="778"/>
    </row>
    <row r="5" spans="1:7" ht="14.45" customHeight="1" x14ac:dyDescent="0.2">
      <c r="A5" s="779" t="s">
        <v>49</v>
      </c>
      <c r="B5" s="779"/>
      <c r="C5" s="38" t="s">
        <v>221</v>
      </c>
      <c r="D5" s="38" t="s">
        <v>46</v>
      </c>
      <c r="E5" s="38" t="s">
        <v>222</v>
      </c>
      <c r="F5" s="38"/>
      <c r="G5" s="778"/>
    </row>
    <row r="6" spans="1:7" x14ac:dyDescent="0.2">
      <c r="A6" s="1" t="s">
        <v>50</v>
      </c>
      <c r="B6" s="2"/>
      <c r="C6" s="51"/>
    </row>
    <row r="7" spans="1:7" x14ac:dyDescent="0.2">
      <c r="A7" s="39"/>
      <c r="B7" s="40" t="s">
        <v>172</v>
      </c>
      <c r="C7" s="53" t="e">
        <f>Produksi!#REF!</f>
        <v>#REF!</v>
      </c>
      <c r="D7" s="43">
        <v>5.5999999999999999E-3</v>
      </c>
      <c r="E7" s="22" t="e">
        <f>C7*D7</f>
        <v>#REF!</v>
      </c>
    </row>
    <row r="8" spans="1:7" x14ac:dyDescent="0.2">
      <c r="A8" s="23"/>
      <c r="B8" s="3" t="s">
        <v>168</v>
      </c>
      <c r="C8" s="53">
        <f>Produksi!F8</f>
        <v>16998.060199717966</v>
      </c>
      <c r="D8" s="43">
        <v>6.6E-3</v>
      </c>
      <c r="E8" s="22">
        <f>C8*D8</f>
        <v>112.18719731813857</v>
      </c>
    </row>
    <row r="9" spans="1:7" x14ac:dyDescent="0.2">
      <c r="A9" s="24"/>
      <c r="B9" s="4" t="s">
        <v>51</v>
      </c>
      <c r="C9" s="53"/>
    </row>
    <row r="10" spans="1:7" x14ac:dyDescent="0.2">
      <c r="A10" s="23"/>
      <c r="B10" s="3" t="s">
        <v>52</v>
      </c>
      <c r="C10" s="53"/>
    </row>
    <row r="11" spans="1:7" ht="12.75" x14ac:dyDescent="0.2">
      <c r="A11" s="24"/>
      <c r="B11" s="4" t="s">
        <v>53</v>
      </c>
      <c r="C11" s="53"/>
      <c r="D11" s="251">
        <v>1</v>
      </c>
    </row>
    <row r="12" spans="1:7" x14ac:dyDescent="0.2">
      <c r="A12" s="23"/>
      <c r="B12" s="3" t="s">
        <v>54</v>
      </c>
      <c r="C12" s="53"/>
    </row>
    <row r="13" spans="1:7" x14ac:dyDescent="0.2">
      <c r="A13" s="23"/>
      <c r="B13" s="4"/>
      <c r="C13" s="53"/>
    </row>
    <row r="14" spans="1:7" x14ac:dyDescent="0.2">
      <c r="A14" s="5" t="s">
        <v>55</v>
      </c>
      <c r="B14" s="3"/>
      <c r="C14" s="53"/>
    </row>
    <row r="15" spans="1:7" x14ac:dyDescent="0.2">
      <c r="A15" s="24"/>
      <c r="B15" s="4" t="s">
        <v>56</v>
      </c>
      <c r="C15" s="53"/>
    </row>
    <row r="16" spans="1:7" x14ac:dyDescent="0.2">
      <c r="A16" s="24"/>
      <c r="B16" s="4" t="s">
        <v>57</v>
      </c>
      <c r="C16" s="53"/>
    </row>
    <row r="17" spans="1:3" x14ac:dyDescent="0.2">
      <c r="A17" s="23"/>
      <c r="B17" s="3" t="s">
        <v>58</v>
      </c>
      <c r="C17" s="53"/>
    </row>
    <row r="18" spans="1:3" x14ac:dyDescent="0.2">
      <c r="A18" s="23"/>
      <c r="B18" s="3"/>
      <c r="C18" s="53"/>
    </row>
    <row r="19" spans="1:3" x14ac:dyDescent="0.2">
      <c r="A19" s="6" t="s">
        <v>59</v>
      </c>
      <c r="B19" s="4"/>
      <c r="C19" s="53"/>
    </row>
    <row r="20" spans="1:3" x14ac:dyDescent="0.2">
      <c r="A20" s="24"/>
      <c r="B20" s="4" t="s">
        <v>60</v>
      </c>
      <c r="C20" s="53"/>
    </row>
    <row r="21" spans="1:3" x14ac:dyDescent="0.2">
      <c r="A21" s="24"/>
      <c r="B21" s="4" t="s">
        <v>61</v>
      </c>
      <c r="C21" s="53"/>
    </row>
    <row r="22" spans="1:3" x14ac:dyDescent="0.2">
      <c r="A22" s="23"/>
      <c r="B22" s="4"/>
      <c r="C22" s="53"/>
    </row>
    <row r="23" spans="1:3" x14ac:dyDescent="0.2">
      <c r="A23" s="7" t="s">
        <v>2</v>
      </c>
      <c r="B23" s="8"/>
      <c r="C23" s="53"/>
    </row>
    <row r="24" spans="1:3" x14ac:dyDescent="0.2">
      <c r="A24" s="6"/>
      <c r="B24" s="9" t="s">
        <v>3</v>
      </c>
      <c r="C24" s="53"/>
    </row>
    <row r="25" spans="1:3" x14ac:dyDescent="0.2">
      <c r="A25" s="23"/>
      <c r="B25" s="3" t="s">
        <v>62</v>
      </c>
      <c r="C25" s="53"/>
    </row>
    <row r="26" spans="1:3" x14ac:dyDescent="0.2">
      <c r="A26" s="23"/>
      <c r="B26" s="3" t="s">
        <v>63</v>
      </c>
      <c r="C26" s="53"/>
    </row>
    <row r="27" spans="1:3" x14ac:dyDescent="0.2">
      <c r="A27" s="24"/>
      <c r="B27" s="4" t="s">
        <v>64</v>
      </c>
      <c r="C27" s="53"/>
    </row>
    <row r="28" spans="1:3" x14ac:dyDescent="0.2">
      <c r="A28" s="24"/>
      <c r="B28" s="4" t="s">
        <v>65</v>
      </c>
      <c r="C28" s="53"/>
    </row>
    <row r="29" spans="1:3" x14ac:dyDescent="0.2">
      <c r="A29" s="23"/>
      <c r="B29" s="3" t="s">
        <v>66</v>
      </c>
      <c r="C29" s="53"/>
    </row>
    <row r="30" spans="1:3" x14ac:dyDescent="0.2">
      <c r="A30" s="23"/>
      <c r="B30" s="3" t="s">
        <v>67</v>
      </c>
      <c r="C30" s="53"/>
    </row>
    <row r="31" spans="1:3" x14ac:dyDescent="0.2">
      <c r="A31" s="24"/>
      <c r="B31" s="4"/>
      <c r="C31" s="53"/>
    </row>
    <row r="32" spans="1:3" x14ac:dyDescent="0.2">
      <c r="A32" s="6" t="s">
        <v>68</v>
      </c>
      <c r="B32" s="4"/>
      <c r="C32" s="53"/>
    </row>
    <row r="33" spans="1:3" x14ac:dyDescent="0.2">
      <c r="A33" s="24"/>
      <c r="B33" s="10" t="s">
        <v>69</v>
      </c>
      <c r="C33" s="53"/>
    </row>
    <row r="34" spans="1:3" x14ac:dyDescent="0.2">
      <c r="A34" s="24"/>
      <c r="B34" s="10" t="s">
        <v>70</v>
      </c>
      <c r="C34" s="53"/>
    </row>
    <row r="35" spans="1:3" x14ac:dyDescent="0.2">
      <c r="A35" s="24"/>
      <c r="B35" s="10" t="s">
        <v>71</v>
      </c>
      <c r="C35" s="53"/>
    </row>
    <row r="36" spans="1:3" x14ac:dyDescent="0.2">
      <c r="A36" s="24"/>
      <c r="B36" s="10" t="s">
        <v>72</v>
      </c>
      <c r="C36" s="53"/>
    </row>
    <row r="37" spans="1:3" x14ac:dyDescent="0.2">
      <c r="A37" s="24"/>
      <c r="B37" s="10" t="s">
        <v>73</v>
      </c>
      <c r="C37" s="53"/>
    </row>
    <row r="38" spans="1:3" x14ac:dyDescent="0.2">
      <c r="A38" s="24"/>
      <c r="B38" s="10" t="s">
        <v>74</v>
      </c>
      <c r="C38" s="53"/>
    </row>
    <row r="39" spans="1:3" x14ac:dyDescent="0.2">
      <c r="A39" s="24"/>
      <c r="B39" s="10" t="s">
        <v>75</v>
      </c>
      <c r="C39" s="53"/>
    </row>
    <row r="40" spans="1:3" x14ac:dyDescent="0.2">
      <c r="A40" s="24"/>
      <c r="B40" s="10" t="s">
        <v>76</v>
      </c>
      <c r="C40" s="53"/>
    </row>
    <row r="41" spans="1:3" x14ac:dyDescent="0.2">
      <c r="A41" s="24"/>
      <c r="B41" s="10" t="s">
        <v>77</v>
      </c>
      <c r="C41" s="53"/>
    </row>
    <row r="42" spans="1:3" x14ac:dyDescent="0.2">
      <c r="A42" s="24"/>
      <c r="B42" s="10" t="s">
        <v>78</v>
      </c>
      <c r="C42" s="53"/>
    </row>
    <row r="43" spans="1:3" x14ac:dyDescent="0.2">
      <c r="A43" s="24"/>
      <c r="B43" s="10" t="s">
        <v>79</v>
      </c>
      <c r="C43" s="53"/>
    </row>
    <row r="44" spans="1:3" x14ac:dyDescent="0.2">
      <c r="A44" s="24"/>
      <c r="B44" s="10" t="s">
        <v>80</v>
      </c>
      <c r="C44" s="53"/>
    </row>
    <row r="45" spans="1:3" x14ac:dyDescent="0.2">
      <c r="A45" s="24"/>
      <c r="B45" s="10" t="s">
        <v>81</v>
      </c>
      <c r="C45" s="53"/>
    </row>
    <row r="46" spans="1:3" x14ac:dyDescent="0.2">
      <c r="A46" s="24"/>
      <c r="B46" s="10" t="s">
        <v>4</v>
      </c>
      <c r="C46" s="53"/>
    </row>
    <row r="47" spans="1:3" x14ac:dyDescent="0.2">
      <c r="A47" s="24"/>
      <c r="B47" s="10" t="s">
        <v>82</v>
      </c>
      <c r="C47" s="53"/>
    </row>
    <row r="48" spans="1:3" x14ac:dyDescent="0.2">
      <c r="A48" s="24"/>
      <c r="B48" s="10" t="s">
        <v>83</v>
      </c>
      <c r="C48" s="53"/>
    </row>
    <row r="49" spans="1:3" x14ac:dyDescent="0.2">
      <c r="A49" s="24"/>
      <c r="B49" s="10" t="s">
        <v>84</v>
      </c>
      <c r="C49" s="53"/>
    </row>
    <row r="50" spans="1:3" x14ac:dyDescent="0.2">
      <c r="A50" s="24"/>
      <c r="B50" s="10" t="s">
        <v>85</v>
      </c>
      <c r="C50" s="53"/>
    </row>
    <row r="51" spans="1:3" x14ac:dyDescent="0.2">
      <c r="A51" s="24"/>
      <c r="B51" s="10" t="s">
        <v>86</v>
      </c>
      <c r="C51" s="53"/>
    </row>
    <row r="52" spans="1:3" x14ac:dyDescent="0.2">
      <c r="A52" s="24"/>
      <c r="B52" s="10" t="s">
        <v>87</v>
      </c>
      <c r="C52" s="53"/>
    </row>
    <row r="53" spans="1:3" x14ac:dyDescent="0.2">
      <c r="A53" s="24"/>
      <c r="B53" s="10" t="s">
        <v>88</v>
      </c>
      <c r="C53" s="53"/>
    </row>
    <row r="54" spans="1:3" x14ac:dyDescent="0.2">
      <c r="A54" s="24"/>
      <c r="B54" s="10" t="s">
        <v>89</v>
      </c>
      <c r="C54" s="53"/>
    </row>
    <row r="55" spans="1:3" x14ac:dyDescent="0.2">
      <c r="A55" s="24"/>
      <c r="B55" s="10" t="s">
        <v>90</v>
      </c>
      <c r="C55" s="53"/>
    </row>
    <row r="56" spans="1:3" x14ac:dyDescent="0.2">
      <c r="A56" s="24"/>
      <c r="B56" s="10" t="s">
        <v>91</v>
      </c>
      <c r="C56" s="53"/>
    </row>
    <row r="57" spans="1:3" x14ac:dyDescent="0.2">
      <c r="A57" s="23"/>
      <c r="B57" s="10" t="s">
        <v>92</v>
      </c>
      <c r="C57" s="53"/>
    </row>
    <row r="58" spans="1:3" x14ac:dyDescent="0.2">
      <c r="A58" s="25"/>
      <c r="B58" s="11" t="s">
        <v>5</v>
      </c>
      <c r="C58" s="53"/>
    </row>
    <row r="59" spans="1:3" x14ac:dyDescent="0.2">
      <c r="A59" s="25"/>
      <c r="B59" s="11" t="s">
        <v>6</v>
      </c>
      <c r="C59" s="53"/>
    </row>
    <row r="60" spans="1:3" x14ac:dyDescent="0.2">
      <c r="A60" s="25"/>
      <c r="B60" s="11" t="s">
        <v>7</v>
      </c>
      <c r="C60" s="53"/>
    </row>
    <row r="61" spans="1:3" x14ac:dyDescent="0.2">
      <c r="A61" s="25"/>
      <c r="B61" s="11" t="s">
        <v>93</v>
      </c>
      <c r="C61" s="53"/>
    </row>
    <row r="62" spans="1:3" x14ac:dyDescent="0.2">
      <c r="A62" s="25"/>
      <c r="B62" s="11" t="s">
        <v>8</v>
      </c>
      <c r="C62" s="53"/>
    </row>
    <row r="63" spans="1:3" x14ac:dyDescent="0.2">
      <c r="A63" s="25"/>
      <c r="B63" s="11" t="s">
        <v>9</v>
      </c>
      <c r="C63" s="53"/>
    </row>
    <row r="64" spans="1:3" x14ac:dyDescent="0.2">
      <c r="A64" s="25"/>
      <c r="B64" s="11" t="s">
        <v>10</v>
      </c>
      <c r="C64" s="53"/>
    </row>
    <row r="65" spans="1:3" x14ac:dyDescent="0.2">
      <c r="A65" s="25"/>
      <c r="B65" s="11" t="s">
        <v>11</v>
      </c>
      <c r="C65" s="53"/>
    </row>
    <row r="66" spans="1:3" x14ac:dyDescent="0.2">
      <c r="A66" s="25"/>
      <c r="B66" s="11" t="s">
        <v>12</v>
      </c>
      <c r="C66" s="53"/>
    </row>
    <row r="67" spans="1:3" x14ac:dyDescent="0.2">
      <c r="A67" s="25"/>
      <c r="B67" s="11" t="s">
        <v>13</v>
      </c>
      <c r="C67" s="53"/>
    </row>
    <row r="68" spans="1:3" x14ac:dyDescent="0.2">
      <c r="A68" s="25"/>
      <c r="B68" s="11" t="s">
        <v>14</v>
      </c>
      <c r="C68" s="53"/>
    </row>
    <row r="69" spans="1:3" x14ac:dyDescent="0.2">
      <c r="A69" s="25"/>
      <c r="B69" s="11" t="s">
        <v>15</v>
      </c>
      <c r="C69" s="53"/>
    </row>
    <row r="70" spans="1:3" x14ac:dyDescent="0.2">
      <c r="A70" s="26"/>
      <c r="B70" s="27" t="s">
        <v>16</v>
      </c>
      <c r="C70" s="53"/>
    </row>
    <row r="71" spans="1:3" x14ac:dyDescent="0.2">
      <c r="A71" s="26"/>
      <c r="B71" s="27" t="s">
        <v>17</v>
      </c>
      <c r="C71" s="53"/>
    </row>
    <row r="72" spans="1:3" x14ac:dyDescent="0.2">
      <c r="A72" s="25"/>
      <c r="B72" s="11" t="s">
        <v>18</v>
      </c>
      <c r="C72" s="53"/>
    </row>
    <row r="73" spans="1:3" x14ac:dyDescent="0.2">
      <c r="A73" s="25"/>
      <c r="B73" s="11"/>
      <c r="C73" s="53"/>
    </row>
    <row r="74" spans="1:3" x14ac:dyDescent="0.2">
      <c r="A74" s="12" t="s">
        <v>19</v>
      </c>
      <c r="B74" s="3"/>
      <c r="C74" s="53"/>
    </row>
    <row r="75" spans="1:3" x14ac:dyDescent="0.2">
      <c r="A75" s="23"/>
      <c r="B75" s="3" t="s">
        <v>94</v>
      </c>
      <c r="C75" s="53"/>
    </row>
    <row r="76" spans="1:3" x14ac:dyDescent="0.2">
      <c r="A76" s="24"/>
      <c r="B76" s="10" t="s">
        <v>95</v>
      </c>
      <c r="C76" s="53"/>
    </row>
    <row r="77" spans="1:3" x14ac:dyDescent="0.2">
      <c r="A77" s="23"/>
      <c r="B77" s="3" t="s">
        <v>96</v>
      </c>
      <c r="C77" s="53"/>
    </row>
    <row r="78" spans="1:3" x14ac:dyDescent="0.2">
      <c r="A78" s="23"/>
      <c r="B78" s="3" t="s">
        <v>97</v>
      </c>
      <c r="C78" s="53"/>
    </row>
    <row r="79" spans="1:3" x14ac:dyDescent="0.2">
      <c r="A79" s="24"/>
      <c r="B79" s="4" t="s">
        <v>98</v>
      </c>
      <c r="C79" s="53"/>
    </row>
    <row r="80" spans="1:3" x14ac:dyDescent="0.2">
      <c r="A80" s="24"/>
      <c r="B80" s="10" t="s">
        <v>99</v>
      </c>
      <c r="C80" s="53"/>
    </row>
    <row r="81" spans="1:3" x14ac:dyDescent="0.2">
      <c r="A81" s="24"/>
      <c r="B81" s="10" t="s">
        <v>100</v>
      </c>
      <c r="C81" s="53"/>
    </row>
    <row r="82" spans="1:3" x14ac:dyDescent="0.2">
      <c r="A82" s="24"/>
      <c r="B82" s="10" t="s">
        <v>101</v>
      </c>
      <c r="C82" s="53"/>
    </row>
    <row r="83" spans="1:3" x14ac:dyDescent="0.2">
      <c r="A83" s="24"/>
      <c r="B83" s="14" t="s">
        <v>166</v>
      </c>
      <c r="C83" s="53"/>
    </row>
    <row r="84" spans="1:3" x14ac:dyDescent="0.2">
      <c r="A84" s="24"/>
      <c r="B84" s="14" t="s">
        <v>20</v>
      </c>
      <c r="C84" s="53"/>
    </row>
    <row r="85" spans="1:3" x14ac:dyDescent="0.2">
      <c r="A85" s="24"/>
      <c r="B85" s="10" t="s">
        <v>102</v>
      </c>
      <c r="C85" s="53"/>
    </row>
    <row r="86" spans="1:3" x14ac:dyDescent="0.2">
      <c r="A86" s="23"/>
      <c r="B86" s="13" t="s">
        <v>103</v>
      </c>
      <c r="C86" s="53"/>
    </row>
    <row r="87" spans="1:3" x14ac:dyDescent="0.2">
      <c r="A87" s="24"/>
      <c r="B87" s="10" t="s">
        <v>104</v>
      </c>
      <c r="C87" s="53"/>
    </row>
    <row r="88" spans="1:3" x14ac:dyDescent="0.2">
      <c r="A88" s="24"/>
      <c r="B88" s="10" t="s">
        <v>105</v>
      </c>
      <c r="C88" s="53"/>
    </row>
    <row r="89" spans="1:3" x14ac:dyDescent="0.2">
      <c r="A89" s="24"/>
      <c r="B89" s="10" t="s">
        <v>106</v>
      </c>
      <c r="C89" s="53"/>
    </row>
    <row r="90" spans="1:3" x14ac:dyDescent="0.2">
      <c r="A90" s="24"/>
      <c r="B90" s="10" t="s">
        <v>107</v>
      </c>
      <c r="C90" s="53"/>
    </row>
    <row r="91" spans="1:3" x14ac:dyDescent="0.2">
      <c r="A91" s="24"/>
      <c r="B91" s="10" t="s">
        <v>108</v>
      </c>
      <c r="C91" s="53"/>
    </row>
    <row r="92" spans="1:3" x14ac:dyDescent="0.2">
      <c r="A92" s="24"/>
      <c r="B92" s="10" t="s">
        <v>109</v>
      </c>
      <c r="C92" s="53"/>
    </row>
    <row r="93" spans="1:3" x14ac:dyDescent="0.2">
      <c r="A93" s="28"/>
      <c r="B93" s="10" t="s">
        <v>110</v>
      </c>
      <c r="C93" s="53"/>
    </row>
    <row r="94" spans="1:3" x14ac:dyDescent="0.2">
      <c r="A94" s="28"/>
      <c r="B94" s="10" t="s">
        <v>111</v>
      </c>
      <c r="C94" s="53"/>
    </row>
    <row r="95" spans="1:3" x14ac:dyDescent="0.2">
      <c r="A95" s="28"/>
      <c r="B95" s="14" t="s">
        <v>167</v>
      </c>
      <c r="C95" s="53"/>
    </row>
    <row r="96" spans="1:3" x14ac:dyDescent="0.2">
      <c r="A96" s="28"/>
      <c r="B96" s="14" t="s">
        <v>21</v>
      </c>
      <c r="C96" s="53"/>
    </row>
    <row r="97" spans="1:3" x14ac:dyDescent="0.2">
      <c r="A97" s="28"/>
      <c r="B97" s="14" t="s">
        <v>22</v>
      </c>
      <c r="C97" s="53"/>
    </row>
    <row r="98" spans="1:3" x14ac:dyDescent="0.2">
      <c r="A98" s="28"/>
      <c r="B98" s="10" t="s">
        <v>112</v>
      </c>
      <c r="C98" s="53"/>
    </row>
    <row r="99" spans="1:3" x14ac:dyDescent="0.2">
      <c r="A99" s="28"/>
      <c r="B99" s="10" t="s">
        <v>113</v>
      </c>
      <c r="C99" s="53"/>
    </row>
    <row r="100" spans="1:3" x14ac:dyDescent="0.2">
      <c r="A100" s="28"/>
      <c r="B100" s="10" t="s">
        <v>114</v>
      </c>
      <c r="C100" s="53"/>
    </row>
    <row r="101" spans="1:3" x14ac:dyDescent="0.2">
      <c r="A101" s="28"/>
      <c r="B101" s="10" t="s">
        <v>115</v>
      </c>
      <c r="C101" s="53"/>
    </row>
    <row r="102" spans="1:3" x14ac:dyDescent="0.2">
      <c r="A102" s="24"/>
      <c r="B102" s="14" t="s">
        <v>23</v>
      </c>
      <c r="C102" s="53"/>
    </row>
    <row r="103" spans="1:3" x14ac:dyDescent="0.2">
      <c r="A103" s="29"/>
      <c r="B103" s="14" t="s">
        <v>24</v>
      </c>
      <c r="C103" s="53"/>
    </row>
    <row r="104" spans="1:3" x14ac:dyDescent="0.2">
      <c r="A104" s="29"/>
      <c r="B104" s="14" t="s">
        <v>25</v>
      </c>
      <c r="C104" s="53"/>
    </row>
    <row r="105" spans="1:3" x14ac:dyDescent="0.2">
      <c r="A105" s="29"/>
      <c r="B105" s="14" t="s">
        <v>26</v>
      </c>
      <c r="C105" s="53"/>
    </row>
    <row r="106" spans="1:3" x14ac:dyDescent="0.2">
      <c r="A106" s="24"/>
      <c r="B106" s="30" t="s">
        <v>27</v>
      </c>
      <c r="C106" s="53"/>
    </row>
    <row r="107" spans="1:3" x14ac:dyDescent="0.2">
      <c r="A107" s="29"/>
      <c r="B107" s="21" t="s">
        <v>173</v>
      </c>
      <c r="C107" s="53"/>
    </row>
    <row r="108" spans="1:3" x14ac:dyDescent="0.2">
      <c r="A108" s="29"/>
      <c r="B108" s="21"/>
      <c r="C108" s="53"/>
    </row>
    <row r="109" spans="1:3" x14ac:dyDescent="0.2">
      <c r="A109" s="15" t="s">
        <v>116</v>
      </c>
      <c r="B109" s="4"/>
      <c r="C109" s="53"/>
    </row>
    <row r="110" spans="1:3" x14ac:dyDescent="0.2">
      <c r="A110" s="31"/>
      <c r="B110" s="4" t="s">
        <v>117</v>
      </c>
      <c r="C110" s="53"/>
    </row>
    <row r="111" spans="1:3" x14ac:dyDescent="0.2">
      <c r="A111" s="31"/>
      <c r="B111" s="4" t="s">
        <v>118</v>
      </c>
      <c r="C111" s="53"/>
    </row>
    <row r="112" spans="1:3" x14ac:dyDescent="0.2">
      <c r="A112" s="31"/>
      <c r="B112" s="4" t="s">
        <v>119</v>
      </c>
      <c r="C112" s="53"/>
    </row>
    <row r="113" spans="1:3" x14ac:dyDescent="0.2">
      <c r="A113" s="31"/>
      <c r="B113" s="4" t="s">
        <v>120</v>
      </c>
      <c r="C113" s="53"/>
    </row>
    <row r="114" spans="1:3" x14ac:dyDescent="0.2">
      <c r="A114" s="23"/>
      <c r="B114" s="3" t="s">
        <v>121</v>
      </c>
      <c r="C114" s="53"/>
    </row>
    <row r="115" spans="1:3" x14ac:dyDescent="0.2">
      <c r="A115" s="31"/>
      <c r="B115" s="4" t="s">
        <v>122</v>
      </c>
      <c r="C115" s="53"/>
    </row>
    <row r="116" spans="1:3" x14ac:dyDescent="0.2">
      <c r="A116" s="23"/>
      <c r="B116" s="3" t="s">
        <v>123</v>
      </c>
      <c r="C116" s="53"/>
    </row>
    <row r="117" spans="1:3" x14ac:dyDescent="0.2">
      <c r="A117" s="23"/>
      <c r="B117" s="3" t="s">
        <v>124</v>
      </c>
      <c r="C117" s="53"/>
    </row>
    <row r="118" spans="1:3" x14ac:dyDescent="0.2">
      <c r="A118" s="31"/>
      <c r="B118" s="4" t="s">
        <v>125</v>
      </c>
      <c r="C118" s="53"/>
    </row>
    <row r="119" spans="1:3" x14ac:dyDescent="0.2">
      <c r="A119" s="32"/>
      <c r="B119" s="3" t="s">
        <v>126</v>
      </c>
      <c r="C119" s="53"/>
    </row>
    <row r="120" spans="1:3" x14ac:dyDescent="0.2">
      <c r="A120" s="23"/>
      <c r="B120" s="3" t="s">
        <v>127</v>
      </c>
      <c r="C120" s="53"/>
    </row>
    <row r="121" spans="1:3" x14ac:dyDescent="0.2">
      <c r="A121" s="33"/>
      <c r="B121" s="4"/>
      <c r="C121" s="53"/>
    </row>
    <row r="122" spans="1:3" x14ac:dyDescent="0.2">
      <c r="A122" s="6" t="s">
        <v>128</v>
      </c>
      <c r="B122" s="4"/>
      <c r="C122" s="53"/>
    </row>
    <row r="123" spans="1:3" x14ac:dyDescent="0.2">
      <c r="A123" s="23"/>
      <c r="B123" s="13" t="s">
        <v>129</v>
      </c>
      <c r="C123" s="53"/>
    </row>
    <row r="124" spans="1:3" x14ac:dyDescent="0.2">
      <c r="A124" s="23"/>
      <c r="B124" s="13" t="s">
        <v>175</v>
      </c>
      <c r="C124" s="53"/>
    </row>
    <row r="125" spans="1:3" x14ac:dyDescent="0.2">
      <c r="A125" s="24"/>
      <c r="B125" s="16" t="s">
        <v>130</v>
      </c>
      <c r="C125" s="53"/>
    </row>
    <row r="126" spans="1:3" x14ac:dyDescent="0.2">
      <c r="A126" s="23"/>
      <c r="B126" s="16" t="s">
        <v>131</v>
      </c>
      <c r="C126" s="53"/>
    </row>
    <row r="127" spans="1:3" x14ac:dyDescent="0.2">
      <c r="A127" s="23"/>
      <c r="B127" s="4"/>
      <c r="C127" s="53"/>
    </row>
    <row r="128" spans="1:3" x14ac:dyDescent="0.2">
      <c r="A128" s="6" t="s">
        <v>132</v>
      </c>
      <c r="B128" s="4"/>
      <c r="C128" s="53"/>
    </row>
    <row r="129" spans="1:3" x14ac:dyDescent="0.2">
      <c r="A129" s="24"/>
      <c r="B129" s="4" t="s">
        <v>133</v>
      </c>
      <c r="C129" s="53"/>
    </row>
    <row r="130" spans="1:3" x14ac:dyDescent="0.2">
      <c r="A130" s="24"/>
      <c r="B130" s="4" t="s">
        <v>134</v>
      </c>
      <c r="C130" s="53"/>
    </row>
    <row r="131" spans="1:3" x14ac:dyDescent="0.2">
      <c r="A131" s="23"/>
      <c r="B131" s="4"/>
      <c r="C131" s="53"/>
    </row>
    <row r="132" spans="1:3" x14ac:dyDescent="0.2">
      <c r="A132" s="7" t="s">
        <v>135</v>
      </c>
      <c r="B132" s="4"/>
      <c r="C132" s="53"/>
    </row>
    <row r="133" spans="1:3" x14ac:dyDescent="0.2">
      <c r="A133" s="25"/>
      <c r="B133" s="3" t="s">
        <v>174</v>
      </c>
      <c r="C133" s="53"/>
    </row>
    <row r="134" spans="1:3" x14ac:dyDescent="0.2">
      <c r="A134" s="24"/>
      <c r="B134" s="4" t="s">
        <v>136</v>
      </c>
      <c r="C134" s="53"/>
    </row>
    <row r="135" spans="1:3" x14ac:dyDescent="0.2">
      <c r="A135" s="24"/>
      <c r="B135" s="4" t="s">
        <v>137</v>
      </c>
      <c r="C135" s="53"/>
    </row>
    <row r="136" spans="1:3" x14ac:dyDescent="0.2">
      <c r="A136" s="24"/>
      <c r="B136" s="4" t="s">
        <v>138</v>
      </c>
      <c r="C136" s="53"/>
    </row>
    <row r="137" spans="1:3" x14ac:dyDescent="0.2">
      <c r="A137" s="24"/>
      <c r="B137" s="4" t="s">
        <v>139</v>
      </c>
      <c r="C137" s="53"/>
    </row>
    <row r="138" spans="1:3" x14ac:dyDescent="0.2">
      <c r="A138" s="24"/>
      <c r="B138" s="4" t="s">
        <v>140</v>
      </c>
      <c r="C138" s="53"/>
    </row>
    <row r="139" spans="1:3" x14ac:dyDescent="0.2">
      <c r="A139" s="24"/>
      <c r="B139" s="4" t="s">
        <v>141</v>
      </c>
      <c r="C139" s="53"/>
    </row>
    <row r="140" spans="1:3" x14ac:dyDescent="0.2">
      <c r="A140" s="23"/>
      <c r="B140" s="3" t="s">
        <v>142</v>
      </c>
      <c r="C140" s="53"/>
    </row>
    <row r="141" spans="1:3" x14ac:dyDescent="0.2">
      <c r="A141" s="24"/>
      <c r="B141" s="4" t="s">
        <v>143</v>
      </c>
      <c r="C141" s="53"/>
    </row>
    <row r="142" spans="1:3" x14ac:dyDescent="0.2">
      <c r="A142" s="34"/>
      <c r="B142" s="4" t="s">
        <v>144</v>
      </c>
      <c r="C142" s="53"/>
    </row>
    <row r="143" spans="1:3" x14ac:dyDescent="0.2">
      <c r="A143" s="24"/>
      <c r="B143" s="4" t="s">
        <v>145</v>
      </c>
      <c r="C143" s="53"/>
    </row>
    <row r="144" spans="1:3" x14ac:dyDescent="0.2">
      <c r="A144" s="34"/>
      <c r="B144" s="4" t="s">
        <v>146</v>
      </c>
      <c r="C144" s="53"/>
    </row>
    <row r="145" spans="1:3" x14ac:dyDescent="0.2">
      <c r="A145" s="34"/>
      <c r="B145" s="4" t="s">
        <v>147</v>
      </c>
      <c r="C145" s="53"/>
    </row>
    <row r="146" spans="1:3" x14ac:dyDescent="0.2">
      <c r="A146" s="34"/>
      <c r="B146" s="4" t="s">
        <v>148</v>
      </c>
      <c r="C146" s="53"/>
    </row>
    <row r="147" spans="1:3" x14ac:dyDescent="0.2">
      <c r="A147" s="34"/>
      <c r="B147" s="4" t="s">
        <v>149</v>
      </c>
      <c r="C147" s="53"/>
    </row>
    <row r="148" spans="1:3" x14ac:dyDescent="0.2">
      <c r="A148" s="34"/>
      <c r="B148" s="4" t="s">
        <v>150</v>
      </c>
      <c r="C148" s="53"/>
    </row>
    <row r="149" spans="1:3" x14ac:dyDescent="0.2">
      <c r="A149" s="34"/>
      <c r="B149" s="4" t="s">
        <v>151</v>
      </c>
      <c r="C149" s="53"/>
    </row>
    <row r="150" spans="1:3" x14ac:dyDescent="0.2">
      <c r="A150" s="24"/>
      <c r="B150" s="4" t="s">
        <v>152</v>
      </c>
      <c r="C150" s="53"/>
    </row>
    <row r="151" spans="1:3" x14ac:dyDescent="0.2">
      <c r="A151" s="34"/>
      <c r="B151" s="4" t="s">
        <v>153</v>
      </c>
      <c r="C151" s="53"/>
    </row>
    <row r="152" spans="1:3" x14ac:dyDescent="0.2">
      <c r="A152" s="24"/>
      <c r="B152" s="4" t="s">
        <v>154</v>
      </c>
      <c r="C152" s="53"/>
    </row>
    <row r="153" spans="1:3" ht="22.5" x14ac:dyDescent="0.2">
      <c r="A153" s="23"/>
      <c r="B153" s="17" t="s">
        <v>155</v>
      </c>
      <c r="C153" s="53"/>
    </row>
    <row r="154" spans="1:3" x14ac:dyDescent="0.2">
      <c r="A154" s="29"/>
      <c r="B154" s="18" t="s">
        <v>156</v>
      </c>
      <c r="C154" s="53"/>
    </row>
    <row r="155" spans="1:3" x14ac:dyDescent="0.2">
      <c r="A155" s="29"/>
      <c r="B155" s="18" t="s">
        <v>28</v>
      </c>
      <c r="C155" s="53"/>
    </row>
    <row r="156" spans="1:3" x14ac:dyDescent="0.2">
      <c r="A156" s="29"/>
      <c r="B156" s="18" t="s">
        <v>29</v>
      </c>
      <c r="C156" s="53"/>
    </row>
    <row r="157" spans="1:3" x14ac:dyDescent="0.2">
      <c r="A157" s="29"/>
      <c r="B157" s="18" t="s">
        <v>30</v>
      </c>
      <c r="C157" s="53"/>
    </row>
    <row r="158" spans="1:3" x14ac:dyDescent="0.2">
      <c r="A158" s="29"/>
      <c r="B158" s="18" t="s">
        <v>31</v>
      </c>
      <c r="C158" s="53"/>
    </row>
    <row r="159" spans="1:3" x14ac:dyDescent="0.2">
      <c r="A159" s="29"/>
      <c r="B159" s="18" t="s">
        <v>32</v>
      </c>
      <c r="C159" s="53"/>
    </row>
    <row r="160" spans="1:3" x14ac:dyDescent="0.2">
      <c r="A160" s="29"/>
      <c r="B160" s="18" t="s">
        <v>33</v>
      </c>
      <c r="C160" s="53"/>
    </row>
    <row r="161" spans="1:3" x14ac:dyDescent="0.2">
      <c r="A161" s="24"/>
      <c r="B161" s="20" t="s">
        <v>34</v>
      </c>
      <c r="C161" s="53"/>
    </row>
    <row r="162" spans="1:3" x14ac:dyDescent="0.2">
      <c r="A162" s="24"/>
      <c r="B162" s="20" t="s">
        <v>35</v>
      </c>
      <c r="C162" s="53"/>
    </row>
    <row r="163" spans="1:3" x14ac:dyDescent="0.2">
      <c r="A163" s="24"/>
      <c r="B163" s="20" t="s">
        <v>36</v>
      </c>
      <c r="C163" s="53"/>
    </row>
    <row r="164" spans="1:3" x14ac:dyDescent="0.2">
      <c r="A164" s="24"/>
      <c r="B164" s="20" t="s">
        <v>37</v>
      </c>
      <c r="C164" s="53"/>
    </row>
    <row r="165" spans="1:3" x14ac:dyDescent="0.2">
      <c r="A165" s="24"/>
      <c r="B165" s="20" t="s">
        <v>38</v>
      </c>
      <c r="C165" s="53"/>
    </row>
    <row r="166" spans="1:3" x14ac:dyDescent="0.2">
      <c r="A166" s="34"/>
      <c r="B166" s="4" t="s">
        <v>157</v>
      </c>
      <c r="C166" s="53"/>
    </row>
    <row r="167" spans="1:3" x14ac:dyDescent="0.2">
      <c r="A167" s="35"/>
      <c r="B167" s="4"/>
      <c r="C167" s="53"/>
    </row>
    <row r="168" spans="1:3" x14ac:dyDescent="0.2">
      <c r="A168" s="7" t="s">
        <v>39</v>
      </c>
      <c r="B168" s="4"/>
      <c r="C168" s="53"/>
    </row>
    <row r="169" spans="1:3" x14ac:dyDescent="0.2">
      <c r="A169" s="6"/>
      <c r="B169" s="19" t="s">
        <v>40</v>
      </c>
      <c r="C169" s="53"/>
    </row>
    <row r="170" spans="1:3" x14ac:dyDescent="0.2">
      <c r="A170" s="23"/>
      <c r="B170" s="3" t="s">
        <v>158</v>
      </c>
      <c r="C170" s="53"/>
    </row>
    <row r="171" spans="1:3" x14ac:dyDescent="0.2">
      <c r="A171" s="23"/>
      <c r="B171" s="3" t="s">
        <v>159</v>
      </c>
      <c r="C171" s="53"/>
    </row>
    <row r="172" spans="1:3" x14ac:dyDescent="0.2">
      <c r="A172" s="23"/>
      <c r="B172" s="3" t="s">
        <v>160</v>
      </c>
      <c r="C172" s="53"/>
    </row>
    <row r="173" spans="1:3" x14ac:dyDescent="0.2">
      <c r="A173" s="23"/>
      <c r="B173" s="20" t="s">
        <v>41</v>
      </c>
      <c r="C173" s="53"/>
    </row>
    <row r="174" spans="1:3" x14ac:dyDescent="0.2">
      <c r="A174" s="23"/>
      <c r="B174" s="20" t="s">
        <v>42</v>
      </c>
      <c r="C174" s="53"/>
    </row>
    <row r="175" spans="1:3" x14ac:dyDescent="0.2">
      <c r="A175" s="23"/>
      <c r="B175" s="20" t="s">
        <v>43</v>
      </c>
      <c r="C175" s="53"/>
    </row>
    <row r="176" spans="1:3" x14ac:dyDescent="0.2">
      <c r="A176" s="23"/>
      <c r="B176" s="20" t="s">
        <v>44</v>
      </c>
      <c r="C176" s="53"/>
    </row>
    <row r="177" spans="1:3" x14ac:dyDescent="0.2">
      <c r="A177" s="23"/>
      <c r="B177" s="21"/>
      <c r="C177" s="53"/>
    </row>
    <row r="178" spans="1:3" x14ac:dyDescent="0.2">
      <c r="A178" s="24"/>
      <c r="B178" s="4" t="s">
        <v>161</v>
      </c>
      <c r="C178" s="53"/>
    </row>
    <row r="179" spans="1:3" x14ac:dyDescent="0.2">
      <c r="A179" s="24"/>
      <c r="B179" s="4" t="s">
        <v>162</v>
      </c>
      <c r="C179" s="53"/>
    </row>
    <row r="180" spans="1:3" x14ac:dyDescent="0.2">
      <c r="A180" s="24"/>
      <c r="B180" s="4" t="s">
        <v>163</v>
      </c>
      <c r="C180" s="53"/>
    </row>
    <row r="181" spans="1:3" x14ac:dyDescent="0.2">
      <c r="A181" s="34"/>
      <c r="B181" s="4" t="s">
        <v>164</v>
      </c>
      <c r="C181" s="53"/>
    </row>
    <row r="182" spans="1:3" x14ac:dyDescent="0.2">
      <c r="A182" s="23"/>
      <c r="B182" s="4" t="s">
        <v>165</v>
      </c>
      <c r="C182" s="53"/>
    </row>
    <row r="183" spans="1:3" x14ac:dyDescent="0.2">
      <c r="A183" s="36"/>
      <c r="B183" s="37"/>
      <c r="C183" s="53"/>
    </row>
  </sheetData>
  <mergeCells count="5">
    <mergeCell ref="A1:F1"/>
    <mergeCell ref="A2:F2"/>
    <mergeCell ref="A4:B4"/>
    <mergeCell ref="G4:G5"/>
    <mergeCell ref="A5:B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"/>
  <sheetViews>
    <sheetView topLeftCell="A151" workbookViewId="0">
      <selection activeCell="D7" sqref="D7:D183"/>
    </sheetView>
  </sheetViews>
  <sheetFormatPr defaultColWidth="8.85546875" defaultRowHeight="11.25" x14ac:dyDescent="0.2"/>
  <cols>
    <col min="1" max="1" width="2.7109375" style="22" customWidth="1"/>
    <col min="2" max="2" width="31" style="22" bestFit="1" customWidth="1"/>
    <col min="3" max="3" width="16.28515625" style="57" customWidth="1"/>
    <col min="4" max="4" width="16.28515625" style="56" customWidth="1"/>
    <col min="5" max="5" width="11.85546875" style="57" customWidth="1"/>
    <col min="6" max="6" width="16.5703125" style="22" customWidth="1"/>
    <col min="7" max="7" width="28.28515625" style="22" customWidth="1"/>
    <col min="8" max="16384" width="8.85546875" style="22"/>
  </cols>
  <sheetData>
    <row r="1" spans="1:7" x14ac:dyDescent="0.2">
      <c r="A1" s="777" t="s">
        <v>0</v>
      </c>
      <c r="B1" s="777"/>
      <c r="C1" s="777"/>
      <c r="D1" s="777"/>
      <c r="E1" s="777"/>
      <c r="F1" s="777"/>
    </row>
    <row r="2" spans="1:7" x14ac:dyDescent="0.2">
      <c r="A2" s="777" t="s">
        <v>1</v>
      </c>
      <c r="B2" s="777"/>
      <c r="C2" s="777"/>
      <c r="D2" s="777"/>
      <c r="E2" s="777"/>
      <c r="F2" s="777"/>
    </row>
    <row r="4" spans="1:7" ht="14.45" customHeight="1" x14ac:dyDescent="0.2">
      <c r="A4" s="778" t="s">
        <v>48</v>
      </c>
      <c r="B4" s="778"/>
      <c r="C4" s="778" t="s">
        <v>221</v>
      </c>
      <c r="D4" s="780" t="s">
        <v>179</v>
      </c>
      <c r="E4" s="778" t="s">
        <v>180</v>
      </c>
      <c r="F4" s="38"/>
      <c r="G4" s="778"/>
    </row>
    <row r="5" spans="1:7" ht="14.45" customHeight="1" x14ac:dyDescent="0.2">
      <c r="A5" s="779" t="s">
        <v>49</v>
      </c>
      <c r="B5" s="779"/>
      <c r="C5" s="778"/>
      <c r="D5" s="780"/>
      <c r="E5" s="778"/>
      <c r="F5" s="38"/>
      <c r="G5" s="778"/>
    </row>
    <row r="6" spans="1:7" x14ac:dyDescent="0.2">
      <c r="A6" s="1" t="s">
        <v>50</v>
      </c>
      <c r="B6" s="2"/>
      <c r="C6" s="55"/>
    </row>
    <row r="7" spans="1:7" x14ac:dyDescent="0.2">
      <c r="A7" s="39"/>
      <c r="B7" s="40" t="s">
        <v>172</v>
      </c>
      <c r="C7" s="53" t="e">
        <f>Produksi!#REF!</f>
        <v>#REF!</v>
      </c>
      <c r="D7" s="56">
        <v>4.9200000000000001E-2</v>
      </c>
      <c r="E7" s="57" t="e">
        <f>C7*D7</f>
        <v>#REF!</v>
      </c>
    </row>
    <row r="8" spans="1:7" x14ac:dyDescent="0.2">
      <c r="A8" s="23"/>
      <c r="B8" s="3" t="s">
        <v>168</v>
      </c>
      <c r="C8" s="53">
        <f>Produksi!F8</f>
        <v>16998.060199717966</v>
      </c>
      <c r="D8" s="56">
        <v>2.5000000000000001E-2</v>
      </c>
      <c r="E8" s="57">
        <f t="shared" ref="E8:E71" si="0">C8*D8</f>
        <v>424.95150499294914</v>
      </c>
    </row>
    <row r="9" spans="1:7" x14ac:dyDescent="0.2">
      <c r="A9" s="24"/>
      <c r="B9" s="4" t="s">
        <v>51</v>
      </c>
      <c r="C9" s="53" t="e">
        <f>Produksi!#REF!</f>
        <v>#REF!</v>
      </c>
      <c r="D9" s="56">
        <v>4.6199999999999998E-2</v>
      </c>
      <c r="E9" s="57" t="e">
        <f t="shared" si="0"/>
        <v>#REF!</v>
      </c>
    </row>
    <row r="10" spans="1:7" x14ac:dyDescent="0.2">
      <c r="A10" s="23"/>
      <c r="B10" s="3" t="s">
        <v>52</v>
      </c>
      <c r="C10" s="53" t="e">
        <f>Produksi!#REF!</f>
        <v>#REF!</v>
      </c>
      <c r="E10" s="57" t="e">
        <f t="shared" si="0"/>
        <v>#REF!</v>
      </c>
    </row>
    <row r="11" spans="1:7" ht="15" x14ac:dyDescent="0.25">
      <c r="A11" s="24"/>
      <c r="B11" s="4" t="s">
        <v>53</v>
      </c>
      <c r="C11" s="53">
        <f>Produksi!F12</f>
        <v>0</v>
      </c>
      <c r="D11" s="252">
        <v>1</v>
      </c>
      <c r="E11" s="57">
        <f t="shared" si="0"/>
        <v>0</v>
      </c>
    </row>
    <row r="12" spans="1:7" x14ac:dyDescent="0.2">
      <c r="A12" s="23"/>
      <c r="B12" s="3" t="s">
        <v>54</v>
      </c>
      <c r="C12" s="53">
        <f>Produksi!F13</f>
        <v>0</v>
      </c>
      <c r="D12" s="56">
        <v>0.45</v>
      </c>
      <c r="E12" s="57">
        <f t="shared" si="0"/>
        <v>0</v>
      </c>
    </row>
    <row r="13" spans="1:7" x14ac:dyDescent="0.2">
      <c r="A13" s="23"/>
      <c r="B13" s="4"/>
      <c r="C13" s="53">
        <f>Produksi!F14</f>
        <v>0</v>
      </c>
      <c r="E13" s="57">
        <f t="shared" si="0"/>
        <v>0</v>
      </c>
    </row>
    <row r="14" spans="1:7" x14ac:dyDescent="0.2">
      <c r="A14" s="5" t="s">
        <v>55</v>
      </c>
      <c r="B14" s="3"/>
      <c r="C14" s="53">
        <f>Produksi!F15</f>
        <v>0</v>
      </c>
      <c r="E14" s="57">
        <f t="shared" si="0"/>
        <v>0</v>
      </c>
    </row>
    <row r="15" spans="1:7" x14ac:dyDescent="0.2">
      <c r="A15" s="24"/>
      <c r="B15" s="4" t="s">
        <v>56</v>
      </c>
      <c r="C15" s="53">
        <f>Produksi!F16</f>
        <v>0</v>
      </c>
      <c r="D15" s="56">
        <v>4.9000000000000002E-2</v>
      </c>
      <c r="E15" s="57">
        <f t="shared" si="0"/>
        <v>0</v>
      </c>
    </row>
    <row r="16" spans="1:7" x14ac:dyDescent="0.2">
      <c r="A16" s="24"/>
      <c r="B16" s="4" t="s">
        <v>57</v>
      </c>
      <c r="C16" s="53">
        <f>Produksi!F18</f>
        <v>163</v>
      </c>
      <c r="D16" s="56">
        <v>4.2299999999999997E-2</v>
      </c>
      <c r="E16" s="57">
        <f t="shared" si="0"/>
        <v>6.8948999999999998</v>
      </c>
    </row>
    <row r="17" spans="1:5" x14ac:dyDescent="0.2">
      <c r="A17" s="23"/>
      <c r="B17" s="3" t="s">
        <v>58</v>
      </c>
      <c r="C17" s="53">
        <f>Produksi!F19</f>
        <v>0</v>
      </c>
      <c r="D17" s="56">
        <v>0.72</v>
      </c>
      <c r="E17" s="57">
        <f t="shared" si="0"/>
        <v>0</v>
      </c>
    </row>
    <row r="18" spans="1:5" x14ac:dyDescent="0.2">
      <c r="A18" s="23"/>
      <c r="B18" s="3"/>
      <c r="C18" s="53">
        <f>Produksi!F25</f>
        <v>0</v>
      </c>
      <c r="E18" s="57">
        <f t="shared" si="0"/>
        <v>0</v>
      </c>
    </row>
    <row r="19" spans="1:5" x14ac:dyDescent="0.2">
      <c r="A19" s="6" t="s">
        <v>59</v>
      </c>
      <c r="B19" s="4"/>
      <c r="C19" s="53">
        <f>Produksi!F26</f>
        <v>0</v>
      </c>
      <c r="E19" s="57">
        <f t="shared" si="0"/>
        <v>0</v>
      </c>
    </row>
    <row r="20" spans="1:5" x14ac:dyDescent="0.2">
      <c r="A20" s="24"/>
      <c r="B20" s="4" t="s">
        <v>60</v>
      </c>
      <c r="C20" s="53">
        <f>Produksi!F27</f>
        <v>0</v>
      </c>
      <c r="D20" s="56">
        <v>4.12</v>
      </c>
      <c r="E20" s="57">
        <f t="shared" si="0"/>
        <v>0</v>
      </c>
    </row>
    <row r="21" spans="1:5" x14ac:dyDescent="0.2">
      <c r="A21" s="24"/>
      <c r="B21" s="4" t="s">
        <v>61</v>
      </c>
      <c r="C21" s="53">
        <f>Produksi!F30</f>
        <v>0</v>
      </c>
      <c r="E21" s="57">
        <f t="shared" si="0"/>
        <v>0</v>
      </c>
    </row>
    <row r="22" spans="1:5" x14ac:dyDescent="0.2">
      <c r="A22" s="23"/>
      <c r="B22" s="4"/>
      <c r="C22" s="53">
        <f>Produksi!F31</f>
        <v>0</v>
      </c>
      <c r="E22" s="57">
        <f t="shared" si="0"/>
        <v>0</v>
      </c>
    </row>
    <row r="23" spans="1:5" x14ac:dyDescent="0.2">
      <c r="A23" s="7" t="s">
        <v>2</v>
      </c>
      <c r="B23" s="8"/>
      <c r="C23" s="53">
        <f>Produksi!F32</f>
        <v>0</v>
      </c>
      <c r="E23" s="57">
        <f t="shared" si="0"/>
        <v>0</v>
      </c>
    </row>
    <row r="24" spans="1:5" x14ac:dyDescent="0.2">
      <c r="A24" s="6"/>
      <c r="B24" s="9" t="s">
        <v>3</v>
      </c>
      <c r="C24" s="53">
        <f>Produksi!F33</f>
        <v>0</v>
      </c>
      <c r="E24" s="57">
        <f t="shared" si="0"/>
        <v>0</v>
      </c>
    </row>
    <row r="25" spans="1:5" x14ac:dyDescent="0.2">
      <c r="A25" s="23"/>
      <c r="B25" s="3" t="s">
        <v>62</v>
      </c>
      <c r="C25" s="53">
        <f>Produksi!F34</f>
        <v>8.16</v>
      </c>
      <c r="D25" s="56">
        <v>5</v>
      </c>
      <c r="E25" s="57">
        <f t="shared" si="0"/>
        <v>40.799999999999997</v>
      </c>
    </row>
    <row r="26" spans="1:5" x14ac:dyDescent="0.2">
      <c r="A26" s="23"/>
      <c r="B26" s="3" t="s">
        <v>63</v>
      </c>
      <c r="C26" s="53" t="e">
        <f>Produksi!#REF!</f>
        <v>#REF!</v>
      </c>
      <c r="D26" s="56">
        <v>3.06</v>
      </c>
      <c r="E26" s="57" t="e">
        <f t="shared" si="0"/>
        <v>#REF!</v>
      </c>
    </row>
    <row r="27" spans="1:5" x14ac:dyDescent="0.2">
      <c r="A27" s="24"/>
      <c r="B27" s="4" t="s">
        <v>64</v>
      </c>
      <c r="C27" s="53">
        <f>Produksi!F35</f>
        <v>0</v>
      </c>
      <c r="D27" s="56">
        <v>2.52</v>
      </c>
      <c r="E27" s="57">
        <f t="shared" si="0"/>
        <v>0</v>
      </c>
    </row>
    <row r="28" spans="1:5" x14ac:dyDescent="0.2">
      <c r="A28" s="24"/>
      <c r="B28" s="4" t="s">
        <v>65</v>
      </c>
      <c r="C28" s="53">
        <f>Produksi!F36</f>
        <v>0</v>
      </c>
      <c r="D28" s="56">
        <v>2.57</v>
      </c>
      <c r="E28" s="57">
        <f t="shared" si="0"/>
        <v>0</v>
      </c>
    </row>
    <row r="29" spans="1:5" x14ac:dyDescent="0.2">
      <c r="A29" s="23"/>
      <c r="B29" s="3" t="s">
        <v>66</v>
      </c>
      <c r="C29" s="53">
        <f>Produksi!F38</f>
        <v>0</v>
      </c>
      <c r="D29" s="56">
        <v>3.65</v>
      </c>
      <c r="E29" s="57">
        <f t="shared" si="0"/>
        <v>0</v>
      </c>
    </row>
    <row r="30" spans="1:5" x14ac:dyDescent="0.2">
      <c r="A30" s="23"/>
      <c r="B30" s="3" t="s">
        <v>67</v>
      </c>
      <c r="C30" s="53">
        <f>Produksi!F39</f>
        <v>0</v>
      </c>
      <c r="D30" s="56">
        <v>1.0900000000000001</v>
      </c>
      <c r="E30" s="57">
        <f t="shared" si="0"/>
        <v>0</v>
      </c>
    </row>
    <row r="31" spans="1:5" x14ac:dyDescent="0.2">
      <c r="A31" s="24"/>
      <c r="B31" s="4"/>
      <c r="C31" s="53">
        <f>Produksi!F40</f>
        <v>0</v>
      </c>
      <c r="E31" s="57">
        <f t="shared" si="0"/>
        <v>0</v>
      </c>
    </row>
    <row r="32" spans="1:5" x14ac:dyDescent="0.2">
      <c r="A32" s="6" t="s">
        <v>68</v>
      </c>
      <c r="B32" s="4"/>
      <c r="C32" s="53">
        <f>Produksi!F41</f>
        <v>0</v>
      </c>
      <c r="E32" s="57">
        <f t="shared" si="0"/>
        <v>0</v>
      </c>
    </row>
    <row r="33" spans="1:5" x14ac:dyDescent="0.2">
      <c r="A33" s="24"/>
      <c r="B33" s="10" t="s">
        <v>69</v>
      </c>
      <c r="C33" s="53">
        <f>Produksi!F42</f>
        <v>85.3</v>
      </c>
      <c r="D33" s="56">
        <v>1.1100000000000001</v>
      </c>
      <c r="E33" s="57">
        <f t="shared" si="0"/>
        <v>94.683000000000007</v>
      </c>
    </row>
    <row r="34" spans="1:5" x14ac:dyDescent="0.2">
      <c r="A34" s="24"/>
      <c r="B34" s="10" t="s">
        <v>70</v>
      </c>
      <c r="C34" s="53">
        <f>Produksi!F43</f>
        <v>2</v>
      </c>
      <c r="D34" s="56">
        <v>1.1100000000000001</v>
      </c>
      <c r="E34" s="57">
        <f t="shared" si="0"/>
        <v>2.2200000000000002</v>
      </c>
    </row>
    <row r="35" spans="1:5" x14ac:dyDescent="0.2">
      <c r="A35" s="24"/>
      <c r="B35" s="10" t="s">
        <v>71</v>
      </c>
      <c r="C35" s="53">
        <f>Produksi!F44</f>
        <v>5706.2</v>
      </c>
      <c r="D35" s="56">
        <v>1.1100000000000001</v>
      </c>
      <c r="E35" s="57">
        <f t="shared" si="0"/>
        <v>6333.8820000000005</v>
      </c>
    </row>
    <row r="36" spans="1:5" x14ac:dyDescent="0.2">
      <c r="A36" s="24"/>
      <c r="B36" s="10" t="s">
        <v>72</v>
      </c>
      <c r="C36" s="53">
        <f>Produksi!F45</f>
        <v>4808.8999999999996</v>
      </c>
      <c r="D36" s="56">
        <v>1.1100000000000001</v>
      </c>
      <c r="E36" s="57">
        <f t="shared" si="0"/>
        <v>5337.8789999999999</v>
      </c>
    </row>
    <row r="37" spans="1:5" x14ac:dyDescent="0.2">
      <c r="A37" s="24"/>
      <c r="B37" s="10" t="s">
        <v>73</v>
      </c>
      <c r="C37" s="53">
        <f>Produksi!F46</f>
        <v>10.199999999999999</v>
      </c>
      <c r="D37" s="56">
        <v>1.1100000000000001</v>
      </c>
      <c r="E37" s="57">
        <f t="shared" si="0"/>
        <v>11.322000000000001</v>
      </c>
    </row>
    <row r="38" spans="1:5" x14ac:dyDescent="0.2">
      <c r="A38" s="24"/>
      <c r="B38" s="10" t="s">
        <v>74</v>
      </c>
      <c r="C38" s="53">
        <f>Produksi!F47</f>
        <v>8</v>
      </c>
      <c r="D38" s="56">
        <v>1.1100000000000001</v>
      </c>
      <c r="E38" s="57">
        <f t="shared" si="0"/>
        <v>8.8800000000000008</v>
      </c>
    </row>
    <row r="39" spans="1:5" x14ac:dyDescent="0.2">
      <c r="A39" s="24"/>
      <c r="B39" s="10" t="s">
        <v>75</v>
      </c>
      <c r="C39" s="53">
        <f>Produksi!F48</f>
        <v>198.3</v>
      </c>
      <c r="D39" s="56">
        <v>1.1100000000000001</v>
      </c>
      <c r="E39" s="57">
        <f t="shared" si="0"/>
        <v>220.11300000000003</v>
      </c>
    </row>
    <row r="40" spans="1:5" x14ac:dyDescent="0.2">
      <c r="A40" s="24"/>
      <c r="B40" s="10" t="s">
        <v>76</v>
      </c>
      <c r="C40" s="53">
        <f>Produksi!F49</f>
        <v>75.099999999999994</v>
      </c>
      <c r="D40" s="56">
        <v>1.1100000000000001</v>
      </c>
      <c r="E40" s="57">
        <f t="shared" si="0"/>
        <v>83.361000000000004</v>
      </c>
    </row>
    <row r="41" spans="1:5" x14ac:dyDescent="0.2">
      <c r="A41" s="24"/>
      <c r="B41" s="10" t="s">
        <v>77</v>
      </c>
      <c r="C41" s="53">
        <f>Produksi!F50</f>
        <v>557.79999999999995</v>
      </c>
      <c r="D41" s="56">
        <v>1.1100000000000001</v>
      </c>
      <c r="E41" s="57">
        <f t="shared" si="0"/>
        <v>619.15800000000002</v>
      </c>
    </row>
    <row r="42" spans="1:5" x14ac:dyDescent="0.2">
      <c r="A42" s="24"/>
      <c r="B42" s="10" t="s">
        <v>78</v>
      </c>
      <c r="C42" s="53">
        <f>Produksi!F51</f>
        <v>488</v>
      </c>
      <c r="D42" s="56">
        <v>1.1100000000000001</v>
      </c>
      <c r="E42" s="57">
        <f t="shared" si="0"/>
        <v>541.68000000000006</v>
      </c>
    </row>
    <row r="43" spans="1:5" x14ac:dyDescent="0.2">
      <c r="A43" s="24"/>
      <c r="B43" s="10" t="s">
        <v>79</v>
      </c>
      <c r="C43" s="53">
        <f>Produksi!F52</f>
        <v>374</v>
      </c>
      <c r="D43" s="56">
        <v>1.1100000000000001</v>
      </c>
      <c r="E43" s="57">
        <f t="shared" si="0"/>
        <v>415.14000000000004</v>
      </c>
    </row>
    <row r="44" spans="1:5" x14ac:dyDescent="0.2">
      <c r="A44" s="24"/>
      <c r="B44" s="10" t="s">
        <v>80</v>
      </c>
      <c r="C44" s="53">
        <f>Produksi!F53</f>
        <v>48.6</v>
      </c>
      <c r="D44" s="56">
        <v>1.1100000000000001</v>
      </c>
      <c r="E44" s="57">
        <f t="shared" si="0"/>
        <v>53.946000000000005</v>
      </c>
    </row>
    <row r="45" spans="1:5" x14ac:dyDescent="0.2">
      <c r="A45" s="24"/>
      <c r="B45" s="10" t="s">
        <v>81</v>
      </c>
      <c r="C45" s="53">
        <f>Produksi!F54</f>
        <v>10.6</v>
      </c>
      <c r="D45" s="56">
        <v>1.1100000000000001</v>
      </c>
      <c r="E45" s="57">
        <f t="shared" si="0"/>
        <v>11.766</v>
      </c>
    </row>
    <row r="46" spans="1:5" x14ac:dyDescent="0.2">
      <c r="A46" s="24"/>
      <c r="B46" s="10" t="s">
        <v>4</v>
      </c>
      <c r="C46" s="53">
        <f>Produksi!F55</f>
        <v>88.4</v>
      </c>
      <c r="D46" s="56">
        <v>1.1100000000000001</v>
      </c>
      <c r="E46" s="57">
        <f t="shared" si="0"/>
        <v>98.124000000000009</v>
      </c>
    </row>
    <row r="47" spans="1:5" x14ac:dyDescent="0.2">
      <c r="A47" s="24"/>
      <c r="B47" s="10" t="s">
        <v>82</v>
      </c>
      <c r="C47" s="53">
        <f>Produksi!F56</f>
        <v>1166.8</v>
      </c>
      <c r="D47" s="56">
        <v>1.1100000000000001</v>
      </c>
      <c r="E47" s="57">
        <f t="shared" si="0"/>
        <v>1295.1480000000001</v>
      </c>
    </row>
    <row r="48" spans="1:5" x14ac:dyDescent="0.2">
      <c r="A48" s="24"/>
      <c r="B48" s="10" t="s">
        <v>83</v>
      </c>
      <c r="C48" s="53">
        <f>Produksi!F57</f>
        <v>0.8</v>
      </c>
      <c r="D48" s="56">
        <v>1.1100000000000001</v>
      </c>
      <c r="E48" s="57">
        <f t="shared" si="0"/>
        <v>0.88800000000000012</v>
      </c>
    </row>
    <row r="49" spans="1:5" x14ac:dyDescent="0.2">
      <c r="A49" s="24"/>
      <c r="B49" s="10" t="s">
        <v>84</v>
      </c>
      <c r="C49" s="53">
        <f>Produksi!F58</f>
        <v>398.5</v>
      </c>
      <c r="D49" s="56">
        <v>1.1100000000000001</v>
      </c>
      <c r="E49" s="57">
        <f t="shared" si="0"/>
        <v>442.33500000000004</v>
      </c>
    </row>
    <row r="50" spans="1:5" x14ac:dyDescent="0.2">
      <c r="A50" s="24"/>
      <c r="B50" s="10" t="s">
        <v>85</v>
      </c>
      <c r="C50" s="53">
        <f>Produksi!F59</f>
        <v>632.70000000000005</v>
      </c>
      <c r="D50" s="56">
        <v>1.1100000000000001</v>
      </c>
      <c r="E50" s="57">
        <f t="shared" si="0"/>
        <v>702.29700000000014</v>
      </c>
    </row>
    <row r="51" spans="1:5" x14ac:dyDescent="0.2">
      <c r="A51" s="24"/>
      <c r="B51" s="10" t="s">
        <v>86</v>
      </c>
      <c r="C51" s="53">
        <f>Produksi!F60</f>
        <v>0</v>
      </c>
      <c r="D51" s="56">
        <v>1.1100000000000001</v>
      </c>
      <c r="E51" s="57">
        <f t="shared" si="0"/>
        <v>0</v>
      </c>
    </row>
    <row r="52" spans="1:5" x14ac:dyDescent="0.2">
      <c r="A52" s="24"/>
      <c r="B52" s="10" t="s">
        <v>87</v>
      </c>
      <c r="C52" s="53">
        <f>Produksi!F61</f>
        <v>6.9</v>
      </c>
      <c r="D52" s="56">
        <v>1.1100000000000001</v>
      </c>
      <c r="E52" s="57">
        <f t="shared" si="0"/>
        <v>7.6590000000000007</v>
      </c>
    </row>
    <row r="53" spans="1:5" x14ac:dyDescent="0.2">
      <c r="A53" s="24"/>
      <c r="B53" s="10" t="s">
        <v>88</v>
      </c>
      <c r="C53" s="53">
        <f>Produksi!F62</f>
        <v>38.6</v>
      </c>
      <c r="D53" s="56">
        <v>1.1100000000000001</v>
      </c>
      <c r="E53" s="57">
        <f t="shared" si="0"/>
        <v>42.846000000000004</v>
      </c>
    </row>
    <row r="54" spans="1:5" x14ac:dyDescent="0.2">
      <c r="A54" s="24"/>
      <c r="B54" s="10" t="s">
        <v>89</v>
      </c>
      <c r="C54" s="53">
        <f>Produksi!F63</f>
        <v>0</v>
      </c>
      <c r="D54" s="56">
        <v>1.1100000000000001</v>
      </c>
      <c r="E54" s="57">
        <f t="shared" si="0"/>
        <v>0</v>
      </c>
    </row>
    <row r="55" spans="1:5" x14ac:dyDescent="0.2">
      <c r="A55" s="24"/>
      <c r="B55" s="10" t="s">
        <v>90</v>
      </c>
      <c r="C55" s="53">
        <f>Produksi!F64</f>
        <v>0</v>
      </c>
      <c r="D55" s="56">
        <v>1.1100000000000001</v>
      </c>
      <c r="E55" s="57">
        <f t="shared" si="0"/>
        <v>0</v>
      </c>
    </row>
    <row r="56" spans="1:5" x14ac:dyDescent="0.2">
      <c r="A56" s="24"/>
      <c r="B56" s="10" t="s">
        <v>91</v>
      </c>
      <c r="C56" s="53">
        <f>Produksi!F65</f>
        <v>0</v>
      </c>
      <c r="D56" s="56">
        <v>1.1100000000000001</v>
      </c>
      <c r="E56" s="57">
        <f t="shared" si="0"/>
        <v>0</v>
      </c>
    </row>
    <row r="57" spans="1:5" x14ac:dyDescent="0.2">
      <c r="A57" s="23"/>
      <c r="B57" s="10" t="s">
        <v>92</v>
      </c>
      <c r="C57" s="53">
        <f>Produksi!F66</f>
        <v>0</v>
      </c>
      <c r="D57" s="56">
        <v>1.1100000000000001</v>
      </c>
      <c r="E57" s="57">
        <f t="shared" si="0"/>
        <v>0</v>
      </c>
    </row>
    <row r="58" spans="1:5" x14ac:dyDescent="0.2">
      <c r="A58" s="25"/>
      <c r="B58" s="11" t="s">
        <v>5</v>
      </c>
      <c r="C58" s="53">
        <f>Produksi!F67</f>
        <v>7</v>
      </c>
      <c r="D58" s="56">
        <v>1.1100000000000001</v>
      </c>
      <c r="E58" s="57">
        <f t="shared" si="0"/>
        <v>7.7700000000000005</v>
      </c>
    </row>
    <row r="59" spans="1:5" x14ac:dyDescent="0.2">
      <c r="A59" s="25"/>
      <c r="B59" s="11" t="s">
        <v>6</v>
      </c>
      <c r="C59" s="53">
        <f>Produksi!F68</f>
        <v>10</v>
      </c>
      <c r="D59" s="56">
        <v>1.1100000000000001</v>
      </c>
      <c r="E59" s="57">
        <f t="shared" si="0"/>
        <v>11.100000000000001</v>
      </c>
    </row>
    <row r="60" spans="1:5" x14ac:dyDescent="0.2">
      <c r="A60" s="25"/>
      <c r="B60" s="11" t="s">
        <v>7</v>
      </c>
      <c r="C60" s="53">
        <f>Produksi!F69</f>
        <v>0</v>
      </c>
      <c r="D60" s="56">
        <v>1.1100000000000001</v>
      </c>
      <c r="E60" s="57">
        <f t="shared" si="0"/>
        <v>0</v>
      </c>
    </row>
    <row r="61" spans="1:5" x14ac:dyDescent="0.2">
      <c r="A61" s="25"/>
      <c r="B61" s="11" t="s">
        <v>93</v>
      </c>
      <c r="C61" s="53">
        <f>Produksi!F70</f>
        <v>0</v>
      </c>
      <c r="D61" s="56">
        <v>1.1100000000000001</v>
      </c>
      <c r="E61" s="57">
        <f t="shared" si="0"/>
        <v>0</v>
      </c>
    </row>
    <row r="62" spans="1:5" x14ac:dyDescent="0.2">
      <c r="A62" s="25"/>
      <c r="B62" s="11" t="s">
        <v>8</v>
      </c>
      <c r="C62" s="53">
        <f>Produksi!F71</f>
        <v>0</v>
      </c>
      <c r="D62" s="56">
        <v>1.1100000000000001</v>
      </c>
      <c r="E62" s="57">
        <f t="shared" si="0"/>
        <v>0</v>
      </c>
    </row>
    <row r="63" spans="1:5" x14ac:dyDescent="0.2">
      <c r="A63" s="25"/>
      <c r="B63" s="11" t="s">
        <v>9</v>
      </c>
      <c r="C63" s="53">
        <f>Produksi!F72</f>
        <v>0</v>
      </c>
      <c r="D63" s="56">
        <v>1.1100000000000001</v>
      </c>
      <c r="E63" s="57">
        <f t="shared" si="0"/>
        <v>0</v>
      </c>
    </row>
    <row r="64" spans="1:5" x14ac:dyDescent="0.2">
      <c r="A64" s="25"/>
      <c r="B64" s="11" t="s">
        <v>10</v>
      </c>
      <c r="C64" s="53">
        <f>Produksi!F73</f>
        <v>0</v>
      </c>
      <c r="D64" s="56">
        <v>1.1100000000000001</v>
      </c>
      <c r="E64" s="57">
        <f t="shared" si="0"/>
        <v>0</v>
      </c>
    </row>
    <row r="65" spans="1:5" x14ac:dyDescent="0.2">
      <c r="A65" s="25"/>
      <c r="B65" s="11" t="s">
        <v>11</v>
      </c>
      <c r="C65" s="53">
        <f>Produksi!F74</f>
        <v>0</v>
      </c>
      <c r="D65" s="56">
        <v>1.1100000000000001</v>
      </c>
      <c r="E65" s="57">
        <f t="shared" si="0"/>
        <v>0</v>
      </c>
    </row>
    <row r="66" spans="1:5" x14ac:dyDescent="0.2">
      <c r="A66" s="25"/>
      <c r="B66" s="11" t="s">
        <v>12</v>
      </c>
      <c r="C66" s="53">
        <f>Produksi!F75</f>
        <v>0</v>
      </c>
      <c r="D66" s="56">
        <v>1.1100000000000001</v>
      </c>
      <c r="E66" s="57">
        <f t="shared" si="0"/>
        <v>0</v>
      </c>
    </row>
    <row r="67" spans="1:5" x14ac:dyDescent="0.2">
      <c r="A67" s="25"/>
      <c r="B67" s="11" t="s">
        <v>13</v>
      </c>
      <c r="C67" s="53">
        <f>Produksi!F76</f>
        <v>58</v>
      </c>
      <c r="D67" s="56">
        <v>1.1100000000000001</v>
      </c>
      <c r="E67" s="57">
        <f t="shared" si="0"/>
        <v>64.38000000000001</v>
      </c>
    </row>
    <row r="68" spans="1:5" x14ac:dyDescent="0.2">
      <c r="A68" s="25"/>
      <c r="B68" s="11" t="s">
        <v>14</v>
      </c>
      <c r="C68" s="53">
        <f>Produksi!F77</f>
        <v>0</v>
      </c>
      <c r="D68" s="56">
        <v>1.1100000000000001</v>
      </c>
      <c r="E68" s="57">
        <f t="shared" si="0"/>
        <v>0</v>
      </c>
    </row>
    <row r="69" spans="1:5" x14ac:dyDescent="0.2">
      <c r="A69" s="25"/>
      <c r="B69" s="11" t="s">
        <v>15</v>
      </c>
      <c r="C69" s="53">
        <f>Produksi!F78</f>
        <v>23</v>
      </c>
      <c r="D69" s="56">
        <v>1.1100000000000001</v>
      </c>
      <c r="E69" s="57">
        <f t="shared" si="0"/>
        <v>25.53</v>
      </c>
    </row>
    <row r="70" spans="1:5" x14ac:dyDescent="0.2">
      <c r="A70" s="26"/>
      <c r="B70" s="27" t="s">
        <v>16</v>
      </c>
      <c r="C70" s="53">
        <f>Produksi!F79</f>
        <v>125</v>
      </c>
      <c r="D70" s="56">
        <v>1.1100000000000001</v>
      </c>
      <c r="E70" s="57">
        <f t="shared" si="0"/>
        <v>138.75</v>
      </c>
    </row>
    <row r="71" spans="1:5" x14ac:dyDescent="0.2">
      <c r="A71" s="26"/>
      <c r="B71" s="27" t="s">
        <v>17</v>
      </c>
      <c r="C71" s="53">
        <f>Produksi!F80</f>
        <v>0</v>
      </c>
      <c r="D71" s="56">
        <v>1.1100000000000001</v>
      </c>
      <c r="E71" s="57">
        <f t="shared" si="0"/>
        <v>0</v>
      </c>
    </row>
    <row r="72" spans="1:5" x14ac:dyDescent="0.2">
      <c r="A72" s="25"/>
      <c r="B72" s="11" t="s">
        <v>18</v>
      </c>
      <c r="C72" s="53">
        <f>Produksi!F81</f>
        <v>0</v>
      </c>
      <c r="D72" s="56">
        <v>1.1100000000000001</v>
      </c>
      <c r="E72" s="57">
        <f t="shared" ref="E72:E135" si="1">C72*D72</f>
        <v>0</v>
      </c>
    </row>
    <row r="73" spans="1:5" x14ac:dyDescent="0.2">
      <c r="A73" s="25"/>
      <c r="B73" s="11"/>
      <c r="C73" s="53">
        <f>Produksi!F82</f>
        <v>0</v>
      </c>
      <c r="E73" s="57">
        <f t="shared" si="1"/>
        <v>0</v>
      </c>
    </row>
    <row r="74" spans="1:5" x14ac:dyDescent="0.2">
      <c r="A74" s="12" t="s">
        <v>19</v>
      </c>
      <c r="B74" s="3"/>
      <c r="C74" s="53">
        <f>Produksi!F83</f>
        <v>0</v>
      </c>
      <c r="E74" s="57">
        <f t="shared" si="1"/>
        <v>0</v>
      </c>
    </row>
    <row r="75" spans="1:5" x14ac:dyDescent="0.2">
      <c r="A75" s="23"/>
      <c r="B75" s="3" t="s">
        <v>94</v>
      </c>
      <c r="C75" s="53">
        <f>Produksi!F84</f>
        <v>0.39504</v>
      </c>
      <c r="D75" s="56">
        <v>2.17</v>
      </c>
      <c r="E75" s="57">
        <f t="shared" si="1"/>
        <v>0.85723680000000002</v>
      </c>
    </row>
    <row r="76" spans="1:5" x14ac:dyDescent="0.2">
      <c r="A76" s="24"/>
      <c r="B76" s="10" t="s">
        <v>95</v>
      </c>
      <c r="C76" s="53">
        <f>Produksi!F87</f>
        <v>7.4</v>
      </c>
      <c r="D76" s="56">
        <v>1.7</v>
      </c>
      <c r="E76" s="57">
        <f t="shared" si="1"/>
        <v>12.58</v>
      </c>
    </row>
    <row r="77" spans="1:5" x14ac:dyDescent="0.2">
      <c r="A77" s="23"/>
      <c r="B77" s="3" t="s">
        <v>96</v>
      </c>
      <c r="C77" s="53">
        <f>Produksi!F88</f>
        <v>0</v>
      </c>
      <c r="D77" s="56">
        <v>0.02</v>
      </c>
      <c r="E77" s="57">
        <f t="shared" si="1"/>
        <v>0</v>
      </c>
    </row>
    <row r="78" spans="1:5" x14ac:dyDescent="0.2">
      <c r="A78" s="23"/>
      <c r="B78" s="3" t="s">
        <v>97</v>
      </c>
      <c r="C78" s="53">
        <f>Produksi!F89</f>
        <v>76</v>
      </c>
      <c r="D78" s="56">
        <v>1.97</v>
      </c>
      <c r="E78" s="57">
        <f t="shared" si="1"/>
        <v>149.72</v>
      </c>
    </row>
    <row r="79" spans="1:5" x14ac:dyDescent="0.2">
      <c r="A79" s="24"/>
      <c r="B79" s="4" t="s">
        <v>98</v>
      </c>
      <c r="C79" s="53">
        <f>Produksi!F90</f>
        <v>0</v>
      </c>
      <c r="D79" s="56">
        <v>1.1299999999999999</v>
      </c>
      <c r="E79" s="57">
        <f t="shared" si="1"/>
        <v>0</v>
      </c>
    </row>
    <row r="80" spans="1:5" x14ac:dyDescent="0.2">
      <c r="A80" s="24"/>
      <c r="B80" s="10" t="s">
        <v>99</v>
      </c>
      <c r="C80" s="53">
        <f>Produksi!F91</f>
        <v>0</v>
      </c>
      <c r="D80" s="56">
        <v>2.41</v>
      </c>
      <c r="E80" s="57">
        <f t="shared" si="1"/>
        <v>0</v>
      </c>
    </row>
    <row r="81" spans="1:5" x14ac:dyDescent="0.2">
      <c r="A81" s="24"/>
      <c r="B81" s="10" t="s">
        <v>100</v>
      </c>
      <c r="C81" s="53">
        <f>Produksi!F92</f>
        <v>0</v>
      </c>
      <c r="D81" s="56">
        <v>1.69</v>
      </c>
      <c r="E81" s="57">
        <f t="shared" si="1"/>
        <v>0</v>
      </c>
    </row>
    <row r="82" spans="1:5" x14ac:dyDescent="0.2">
      <c r="A82" s="24"/>
      <c r="B82" s="10" t="s">
        <v>101</v>
      </c>
      <c r="C82" s="53">
        <f>Produksi!F93</f>
        <v>0</v>
      </c>
      <c r="D82" s="56">
        <v>2.41</v>
      </c>
      <c r="E82" s="57">
        <f t="shared" si="1"/>
        <v>0</v>
      </c>
    </row>
    <row r="83" spans="1:5" x14ac:dyDescent="0.2">
      <c r="A83" s="24"/>
      <c r="B83" s="14" t="s">
        <v>166</v>
      </c>
      <c r="C83" s="53">
        <f>Produksi!F94</f>
        <v>78.400000000000006</v>
      </c>
      <c r="D83" s="56">
        <v>1.55</v>
      </c>
      <c r="E83" s="57">
        <f t="shared" si="1"/>
        <v>121.52000000000001</v>
      </c>
    </row>
    <row r="84" spans="1:5" x14ac:dyDescent="0.2">
      <c r="A84" s="24"/>
      <c r="B84" s="14" t="s">
        <v>20</v>
      </c>
      <c r="C84" s="53">
        <f>Produksi!F95</f>
        <v>60.7</v>
      </c>
      <c r="D84" s="56">
        <v>1.7099828657027953</v>
      </c>
      <c r="E84" s="57">
        <f t="shared" si="1"/>
        <v>103.79595994815968</v>
      </c>
    </row>
    <row r="85" spans="1:5" x14ac:dyDescent="0.2">
      <c r="A85" s="24"/>
      <c r="B85" s="10" t="s">
        <v>102</v>
      </c>
      <c r="C85" s="53">
        <f>Produksi!F96</f>
        <v>41.8</v>
      </c>
      <c r="D85" s="56">
        <v>1.68</v>
      </c>
      <c r="E85" s="57">
        <f t="shared" si="1"/>
        <v>70.22399999999999</v>
      </c>
    </row>
    <row r="86" spans="1:5" x14ac:dyDescent="0.2">
      <c r="A86" s="23"/>
      <c r="B86" s="13" t="s">
        <v>103</v>
      </c>
      <c r="C86" s="53">
        <f>Produksi!F97</f>
        <v>0</v>
      </c>
      <c r="D86" s="56">
        <v>2.41</v>
      </c>
      <c r="E86" s="57">
        <f t="shared" si="1"/>
        <v>0</v>
      </c>
    </row>
    <row r="87" spans="1:5" x14ac:dyDescent="0.2">
      <c r="A87" s="24"/>
      <c r="B87" s="10" t="s">
        <v>104</v>
      </c>
      <c r="C87" s="53">
        <f>Produksi!F98</f>
        <v>0</v>
      </c>
      <c r="D87" s="56">
        <v>1.71</v>
      </c>
      <c r="E87" s="57">
        <f t="shared" si="1"/>
        <v>0</v>
      </c>
    </row>
    <row r="88" spans="1:5" x14ac:dyDescent="0.2">
      <c r="A88" s="24"/>
      <c r="B88" s="10" t="s">
        <v>105</v>
      </c>
      <c r="C88" s="53">
        <f>Produksi!F99</f>
        <v>270.8</v>
      </c>
      <c r="D88" s="56">
        <v>1.83</v>
      </c>
      <c r="E88" s="57">
        <f t="shared" si="1"/>
        <v>495.56400000000002</v>
      </c>
    </row>
    <row r="89" spans="1:5" x14ac:dyDescent="0.2">
      <c r="A89" s="24"/>
      <c r="B89" s="10" t="s">
        <v>106</v>
      </c>
      <c r="C89" s="53">
        <f>Produksi!F100</f>
        <v>0</v>
      </c>
      <c r="D89" s="56">
        <v>2.02</v>
      </c>
      <c r="E89" s="57">
        <f t="shared" si="1"/>
        <v>0</v>
      </c>
    </row>
    <row r="90" spans="1:5" x14ac:dyDescent="0.2">
      <c r="A90" s="24"/>
      <c r="B90" s="10" t="s">
        <v>107</v>
      </c>
      <c r="C90" s="53">
        <f>Produksi!F101</f>
        <v>0</v>
      </c>
      <c r="D90" s="56">
        <v>1.98</v>
      </c>
      <c r="E90" s="57">
        <f t="shared" si="1"/>
        <v>0</v>
      </c>
    </row>
    <row r="91" spans="1:5" x14ac:dyDescent="0.2">
      <c r="A91" s="24"/>
      <c r="B91" s="10" t="s">
        <v>108</v>
      </c>
      <c r="C91" s="53">
        <f>Produksi!F102</f>
        <v>0</v>
      </c>
      <c r="D91" s="56">
        <v>1.97</v>
      </c>
      <c r="E91" s="57">
        <f t="shared" si="1"/>
        <v>0</v>
      </c>
    </row>
    <row r="92" spans="1:5" x14ac:dyDescent="0.2">
      <c r="A92" s="24"/>
      <c r="B92" s="10" t="s">
        <v>109</v>
      </c>
      <c r="C92" s="53">
        <f>Produksi!F103</f>
        <v>231.4</v>
      </c>
      <c r="D92" s="56">
        <v>1.97</v>
      </c>
      <c r="E92" s="57">
        <f t="shared" si="1"/>
        <v>455.858</v>
      </c>
    </row>
    <row r="93" spans="1:5" x14ac:dyDescent="0.2">
      <c r="A93" s="28"/>
      <c r="B93" s="10" t="s">
        <v>110</v>
      </c>
      <c r="C93" s="53" t="e">
        <f>Produksi!#REF!</f>
        <v>#REF!</v>
      </c>
      <c r="D93" s="56">
        <v>0.02</v>
      </c>
      <c r="E93" s="57" t="e">
        <f t="shared" si="1"/>
        <v>#REF!</v>
      </c>
    </row>
    <row r="94" spans="1:5" x14ac:dyDescent="0.2">
      <c r="A94" s="28"/>
      <c r="B94" s="10" t="s">
        <v>111</v>
      </c>
      <c r="C94" s="53">
        <f>Produksi!F104</f>
        <v>0</v>
      </c>
      <c r="D94" s="56">
        <v>2.41</v>
      </c>
      <c r="E94" s="57">
        <f t="shared" si="1"/>
        <v>0</v>
      </c>
    </row>
    <row r="95" spans="1:5" x14ac:dyDescent="0.2">
      <c r="A95" s="28"/>
      <c r="B95" s="14" t="s">
        <v>167</v>
      </c>
      <c r="C95" s="53">
        <f>Produksi!F105</f>
        <v>0</v>
      </c>
      <c r="D95" s="56">
        <v>2.41</v>
      </c>
      <c r="E95" s="57">
        <f t="shared" si="1"/>
        <v>0</v>
      </c>
    </row>
    <row r="96" spans="1:5" x14ac:dyDescent="0.2">
      <c r="A96" s="28"/>
      <c r="B96" s="14" t="s">
        <v>21</v>
      </c>
      <c r="C96" s="53">
        <f>Produksi!F106</f>
        <v>0</v>
      </c>
      <c r="D96" s="56">
        <v>2.41</v>
      </c>
      <c r="E96" s="57">
        <f t="shared" si="1"/>
        <v>0</v>
      </c>
    </row>
    <row r="97" spans="1:5" x14ac:dyDescent="0.2">
      <c r="A97" s="28"/>
      <c r="B97" s="14" t="s">
        <v>22</v>
      </c>
      <c r="C97" s="53">
        <f>Produksi!F107</f>
        <v>0</v>
      </c>
      <c r="D97" s="56">
        <v>2.41</v>
      </c>
      <c r="E97" s="57">
        <f t="shared" si="1"/>
        <v>0</v>
      </c>
    </row>
    <row r="98" spans="1:5" x14ac:dyDescent="0.2">
      <c r="A98" s="28"/>
      <c r="B98" s="10" t="s">
        <v>112</v>
      </c>
      <c r="C98" s="53">
        <f>Produksi!F108</f>
        <v>0</v>
      </c>
      <c r="D98" s="56">
        <v>2.41</v>
      </c>
      <c r="E98" s="57">
        <f t="shared" si="1"/>
        <v>0</v>
      </c>
    </row>
    <row r="99" spans="1:5" x14ac:dyDescent="0.2">
      <c r="A99" s="28"/>
      <c r="B99" s="10" t="s">
        <v>113</v>
      </c>
      <c r="C99" s="53">
        <f>Produksi!F109</f>
        <v>0</v>
      </c>
      <c r="D99" s="56">
        <v>2.41</v>
      </c>
      <c r="E99" s="57">
        <f t="shared" si="1"/>
        <v>0</v>
      </c>
    </row>
    <row r="100" spans="1:5" x14ac:dyDescent="0.2">
      <c r="A100" s="28"/>
      <c r="B100" s="10" t="s">
        <v>114</v>
      </c>
      <c r="C100" s="53">
        <f>Produksi!F110</f>
        <v>0</v>
      </c>
      <c r="D100" s="56">
        <v>2.41</v>
      </c>
      <c r="E100" s="57">
        <f t="shared" si="1"/>
        <v>0</v>
      </c>
    </row>
    <row r="101" spans="1:5" x14ac:dyDescent="0.2">
      <c r="A101" s="28"/>
      <c r="B101" s="10" t="s">
        <v>115</v>
      </c>
      <c r="C101" s="53">
        <f>Produksi!F111</f>
        <v>0</v>
      </c>
      <c r="D101" s="56">
        <v>1.77</v>
      </c>
      <c r="E101" s="57">
        <f t="shared" si="1"/>
        <v>0</v>
      </c>
    </row>
    <row r="102" spans="1:5" x14ac:dyDescent="0.2">
      <c r="A102" s="24"/>
      <c r="B102" s="14" t="s">
        <v>23</v>
      </c>
      <c r="C102" s="53">
        <f>Produksi!F112</f>
        <v>0</v>
      </c>
      <c r="D102" s="56">
        <v>2.41</v>
      </c>
      <c r="E102" s="57">
        <f t="shared" si="1"/>
        <v>0</v>
      </c>
    </row>
    <row r="103" spans="1:5" x14ac:dyDescent="0.2">
      <c r="A103" s="29"/>
      <c r="B103" s="14" t="s">
        <v>24</v>
      </c>
      <c r="C103" s="53">
        <f>Produksi!F113</f>
        <v>0</v>
      </c>
      <c r="D103" s="56">
        <v>2.41</v>
      </c>
      <c r="E103" s="57">
        <f t="shared" si="1"/>
        <v>0</v>
      </c>
    </row>
    <row r="104" spans="1:5" x14ac:dyDescent="0.2">
      <c r="A104" s="29"/>
      <c r="B104" s="14" t="s">
        <v>25</v>
      </c>
      <c r="C104" s="53">
        <f>Produksi!F114</f>
        <v>0</v>
      </c>
      <c r="D104" s="56">
        <v>2.41</v>
      </c>
      <c r="E104" s="57">
        <f t="shared" si="1"/>
        <v>0</v>
      </c>
    </row>
    <row r="105" spans="1:5" x14ac:dyDescent="0.2">
      <c r="A105" s="29"/>
      <c r="B105" s="14" t="s">
        <v>26</v>
      </c>
      <c r="C105" s="53">
        <f>Produksi!F115</f>
        <v>0</v>
      </c>
      <c r="D105" s="56">
        <v>2.41</v>
      </c>
      <c r="E105" s="57">
        <f t="shared" si="1"/>
        <v>0</v>
      </c>
    </row>
    <row r="106" spans="1:5" x14ac:dyDescent="0.2">
      <c r="A106" s="24"/>
      <c r="B106" s="30" t="s">
        <v>27</v>
      </c>
      <c r="C106" s="53" t="e">
        <f>Produksi!#REF!</f>
        <v>#REF!</v>
      </c>
      <c r="D106" s="56">
        <v>2.41</v>
      </c>
      <c r="E106" s="57" t="e">
        <f t="shared" si="1"/>
        <v>#REF!</v>
      </c>
    </row>
    <row r="107" spans="1:5" x14ac:dyDescent="0.2">
      <c r="A107" s="29"/>
      <c r="B107" s="21" t="s">
        <v>173</v>
      </c>
      <c r="C107" s="53">
        <f>Produksi!F116</f>
        <v>0</v>
      </c>
      <c r="D107" s="56">
        <v>2.41</v>
      </c>
      <c r="E107" s="57">
        <f t="shared" si="1"/>
        <v>0</v>
      </c>
    </row>
    <row r="108" spans="1:5" x14ac:dyDescent="0.2">
      <c r="A108" s="29"/>
      <c r="B108" s="21"/>
      <c r="C108" s="53">
        <f>Produksi!F117</f>
        <v>0</v>
      </c>
      <c r="E108" s="57">
        <f t="shared" si="1"/>
        <v>0</v>
      </c>
    </row>
    <row r="109" spans="1:5" x14ac:dyDescent="0.2">
      <c r="A109" s="15" t="s">
        <v>116</v>
      </c>
      <c r="B109" s="4"/>
      <c r="C109" s="53">
        <f>Produksi!F118</f>
        <v>0</v>
      </c>
      <c r="E109" s="57">
        <f t="shared" si="1"/>
        <v>0</v>
      </c>
    </row>
    <row r="110" spans="1:5" x14ac:dyDescent="0.2">
      <c r="A110" s="31"/>
      <c r="B110" s="4" t="s">
        <v>117</v>
      </c>
      <c r="C110" s="53">
        <f>Produksi!F119</f>
        <v>1282.0047144740035</v>
      </c>
      <c r="D110" s="58">
        <v>0.08</v>
      </c>
      <c r="E110" s="57">
        <f t="shared" si="1"/>
        <v>102.56037715792029</v>
      </c>
    </row>
    <row r="111" spans="1:5" x14ac:dyDescent="0.2">
      <c r="A111" s="31"/>
      <c r="B111" s="4" t="s">
        <v>118</v>
      </c>
      <c r="C111" s="53">
        <f>Produksi!F122</f>
        <v>138.70531953751254</v>
      </c>
      <c r="D111" s="58">
        <v>0.08</v>
      </c>
      <c r="E111" s="57">
        <f t="shared" si="1"/>
        <v>11.096425563001004</v>
      </c>
    </row>
    <row r="112" spans="1:5" x14ac:dyDescent="0.2">
      <c r="A112" s="31"/>
      <c r="B112" s="4" t="s">
        <v>119</v>
      </c>
      <c r="C112" s="53">
        <f>Produksi!F123</f>
        <v>43.426272003714594</v>
      </c>
      <c r="D112" s="58">
        <v>0.08</v>
      </c>
      <c r="E112" s="57">
        <f t="shared" si="1"/>
        <v>3.4741017602971676</v>
      </c>
    </row>
    <row r="113" spans="1:5" x14ac:dyDescent="0.2">
      <c r="A113" s="31"/>
      <c r="B113" s="4" t="s">
        <v>120</v>
      </c>
      <c r="C113" s="53">
        <f>Produksi!F124</f>
        <v>0</v>
      </c>
      <c r="D113" s="58">
        <v>0.08</v>
      </c>
      <c r="E113" s="57">
        <f t="shared" si="1"/>
        <v>0</v>
      </c>
    </row>
    <row r="114" spans="1:5" x14ac:dyDescent="0.2">
      <c r="A114" s="23"/>
      <c r="B114" s="3" t="s">
        <v>121</v>
      </c>
      <c r="C114" s="53">
        <f>Produksi!F125</f>
        <v>0</v>
      </c>
      <c r="D114" s="58">
        <v>0.08</v>
      </c>
      <c r="E114" s="57">
        <f t="shared" si="1"/>
        <v>0</v>
      </c>
    </row>
    <row r="115" spans="1:5" x14ac:dyDescent="0.2">
      <c r="A115" s="31"/>
      <c r="B115" s="4" t="s">
        <v>122</v>
      </c>
      <c r="C115" s="53">
        <f>Produksi!F126</f>
        <v>0</v>
      </c>
      <c r="D115" s="58">
        <v>0.08</v>
      </c>
      <c r="E115" s="57">
        <f t="shared" si="1"/>
        <v>0</v>
      </c>
    </row>
    <row r="116" spans="1:5" x14ac:dyDescent="0.2">
      <c r="A116" s="23"/>
      <c r="B116" s="3" t="s">
        <v>123</v>
      </c>
      <c r="C116" s="53">
        <f>Produksi!F127</f>
        <v>218.5047229722</v>
      </c>
      <c r="D116" s="58">
        <v>0.08</v>
      </c>
      <c r="E116" s="57">
        <f t="shared" si="1"/>
        <v>17.480377837776</v>
      </c>
    </row>
    <row r="117" spans="1:5" x14ac:dyDescent="0.2">
      <c r="A117" s="23"/>
      <c r="B117" s="3" t="s">
        <v>124</v>
      </c>
      <c r="C117" s="53">
        <f>Produksi!F128</f>
        <v>4500.6264758545003</v>
      </c>
      <c r="D117" s="58">
        <v>0.08</v>
      </c>
      <c r="E117" s="57">
        <f t="shared" si="1"/>
        <v>360.05011806836001</v>
      </c>
    </row>
    <row r="118" spans="1:5" x14ac:dyDescent="0.2">
      <c r="A118" s="31"/>
      <c r="B118" s="4" t="s">
        <v>125</v>
      </c>
      <c r="C118" s="53">
        <f>Produksi!F129</f>
        <v>10.16115008265</v>
      </c>
      <c r="D118" s="58">
        <v>0.08</v>
      </c>
      <c r="E118" s="57">
        <f t="shared" si="1"/>
        <v>0.81289200661200001</v>
      </c>
    </row>
    <row r="119" spans="1:5" x14ac:dyDescent="0.2">
      <c r="A119" s="32"/>
      <c r="B119" s="3" t="s">
        <v>126</v>
      </c>
      <c r="C119" s="53">
        <f>Produksi!F130</f>
        <v>6.8619012000000001</v>
      </c>
      <c r="D119" s="58">
        <v>0.08</v>
      </c>
      <c r="E119" s="57">
        <f t="shared" si="1"/>
        <v>0.54895209600000006</v>
      </c>
    </row>
    <row r="120" spans="1:5" x14ac:dyDescent="0.2">
      <c r="A120" s="23"/>
      <c r="B120" s="3" t="s">
        <v>127</v>
      </c>
      <c r="C120" s="53">
        <f>Produksi!F131</f>
        <v>844.71164549075263</v>
      </c>
      <c r="D120" s="58">
        <v>0.08</v>
      </c>
      <c r="E120" s="57">
        <f t="shared" si="1"/>
        <v>67.576931639260209</v>
      </c>
    </row>
    <row r="121" spans="1:5" x14ac:dyDescent="0.2">
      <c r="A121" s="33"/>
      <c r="B121" s="4"/>
      <c r="C121" s="53">
        <f>Produksi!F132</f>
        <v>0</v>
      </c>
      <c r="E121" s="57">
        <f t="shared" si="1"/>
        <v>0</v>
      </c>
    </row>
    <row r="122" spans="1:5" x14ac:dyDescent="0.2">
      <c r="A122" s="6" t="s">
        <v>128</v>
      </c>
      <c r="B122" s="4"/>
      <c r="C122" s="53">
        <f>Produksi!F133</f>
        <v>0</v>
      </c>
      <c r="E122" s="57">
        <f t="shared" si="1"/>
        <v>0</v>
      </c>
    </row>
    <row r="123" spans="1:5" x14ac:dyDescent="0.2">
      <c r="A123" s="23"/>
      <c r="B123" s="13" t="s">
        <v>129</v>
      </c>
      <c r="C123" s="53">
        <f>Produksi!F134</f>
        <v>131.24472141375</v>
      </c>
      <c r="D123" s="56">
        <v>2E-3</v>
      </c>
      <c r="E123" s="57">
        <f t="shared" si="1"/>
        <v>0.26248944282750003</v>
      </c>
    </row>
    <row r="124" spans="1:5" x14ac:dyDescent="0.2">
      <c r="A124" s="23"/>
      <c r="B124" s="13" t="s">
        <v>175</v>
      </c>
      <c r="C124" s="53">
        <f>Produksi!F135</f>
        <v>538.91259985080001</v>
      </c>
      <c r="E124" s="57">
        <f t="shared" si="1"/>
        <v>0</v>
      </c>
    </row>
    <row r="125" spans="1:5" x14ac:dyDescent="0.2">
      <c r="A125" s="24"/>
      <c r="B125" s="16" t="s">
        <v>130</v>
      </c>
      <c r="C125" s="53">
        <f>Produksi!F136</f>
        <v>103.45018958295</v>
      </c>
      <c r="E125" s="57">
        <f t="shared" si="1"/>
        <v>0</v>
      </c>
    </row>
    <row r="126" spans="1:5" x14ac:dyDescent="0.2">
      <c r="A126" s="23"/>
      <c r="B126" s="16" t="s">
        <v>131</v>
      </c>
      <c r="C126" s="53">
        <f>Produksi!F137</f>
        <v>54.084257639999997</v>
      </c>
      <c r="E126" s="57">
        <f t="shared" si="1"/>
        <v>0</v>
      </c>
    </row>
    <row r="127" spans="1:5" x14ac:dyDescent="0.2">
      <c r="A127" s="23"/>
      <c r="B127" s="4"/>
      <c r="C127" s="53">
        <f>Produksi!F138</f>
        <v>0</v>
      </c>
      <c r="E127" s="57">
        <f t="shared" si="1"/>
        <v>0</v>
      </c>
    </row>
    <row r="128" spans="1:5" x14ac:dyDescent="0.2">
      <c r="A128" s="6" t="s">
        <v>132</v>
      </c>
      <c r="B128" s="4"/>
      <c r="C128" s="53">
        <f>Produksi!F139</f>
        <v>0</v>
      </c>
      <c r="E128" s="57">
        <f t="shared" si="1"/>
        <v>0</v>
      </c>
    </row>
    <row r="129" spans="1:5" x14ac:dyDescent="0.2">
      <c r="A129" s="24"/>
      <c r="B129" s="4" t="s">
        <v>133</v>
      </c>
      <c r="C129" s="53">
        <f>Produksi!F140</f>
        <v>0</v>
      </c>
      <c r="D129" s="56">
        <v>1</v>
      </c>
      <c r="E129" s="57">
        <f t="shared" si="1"/>
        <v>0</v>
      </c>
    </row>
    <row r="130" spans="1:5" x14ac:dyDescent="0.2">
      <c r="A130" s="24"/>
      <c r="B130" s="4" t="s">
        <v>134</v>
      </c>
      <c r="C130" s="53">
        <f>Produksi!F141</f>
        <v>0</v>
      </c>
      <c r="D130" s="56">
        <v>1</v>
      </c>
      <c r="E130" s="57">
        <f t="shared" si="1"/>
        <v>0</v>
      </c>
    </row>
    <row r="131" spans="1:5" x14ac:dyDescent="0.2">
      <c r="A131" s="23"/>
      <c r="B131" s="4"/>
      <c r="C131" s="53">
        <f>Produksi!F142</f>
        <v>0</v>
      </c>
      <c r="E131" s="57">
        <f t="shared" si="1"/>
        <v>0</v>
      </c>
    </row>
    <row r="132" spans="1:5" x14ac:dyDescent="0.2">
      <c r="A132" s="7" t="s">
        <v>135</v>
      </c>
      <c r="B132" s="4"/>
      <c r="C132" s="53">
        <f>Produksi!F143</f>
        <v>0</v>
      </c>
      <c r="E132" s="57">
        <f t="shared" si="1"/>
        <v>0</v>
      </c>
    </row>
    <row r="133" spans="1:5" x14ac:dyDescent="0.2">
      <c r="A133" s="25"/>
      <c r="B133" s="3" t="s">
        <v>174</v>
      </c>
      <c r="C133" s="53">
        <f>Produksi!F144</f>
        <v>0</v>
      </c>
      <c r="D133" s="56">
        <v>1</v>
      </c>
      <c r="E133" s="57">
        <f t="shared" si="1"/>
        <v>0</v>
      </c>
    </row>
    <row r="134" spans="1:5" x14ac:dyDescent="0.2">
      <c r="A134" s="24"/>
      <c r="B134" s="4" t="s">
        <v>136</v>
      </c>
      <c r="C134" s="53">
        <f>Produksi!F145</f>
        <v>0</v>
      </c>
      <c r="D134" s="56">
        <v>1</v>
      </c>
      <c r="E134" s="57">
        <f t="shared" si="1"/>
        <v>0</v>
      </c>
    </row>
    <row r="135" spans="1:5" x14ac:dyDescent="0.2">
      <c r="A135" s="24"/>
      <c r="B135" s="4" t="s">
        <v>137</v>
      </c>
      <c r="C135" s="53">
        <f>Produksi!F146</f>
        <v>0</v>
      </c>
      <c r="D135" s="56">
        <v>1</v>
      </c>
      <c r="E135" s="57">
        <f t="shared" si="1"/>
        <v>0</v>
      </c>
    </row>
    <row r="136" spans="1:5" x14ac:dyDescent="0.2">
      <c r="A136" s="24"/>
      <c r="B136" s="4" t="s">
        <v>138</v>
      </c>
      <c r="C136" s="53">
        <f>Produksi!F147</f>
        <v>0</v>
      </c>
      <c r="D136" s="56">
        <v>1</v>
      </c>
      <c r="E136" s="57">
        <f t="shared" ref="E136:E183" si="2">C136*D136</f>
        <v>0</v>
      </c>
    </row>
    <row r="137" spans="1:5" x14ac:dyDescent="0.2">
      <c r="A137" s="24"/>
      <c r="B137" s="4" t="s">
        <v>139</v>
      </c>
      <c r="C137" s="53">
        <f>Produksi!F148</f>
        <v>0</v>
      </c>
      <c r="D137" s="56">
        <v>1</v>
      </c>
      <c r="E137" s="57">
        <f t="shared" si="2"/>
        <v>0</v>
      </c>
    </row>
    <row r="138" spans="1:5" x14ac:dyDescent="0.2">
      <c r="A138" s="24"/>
      <c r="B138" s="4" t="s">
        <v>140</v>
      </c>
      <c r="C138" s="53">
        <f>Produksi!F149</f>
        <v>0</v>
      </c>
      <c r="D138" s="56">
        <v>1</v>
      </c>
      <c r="E138" s="57">
        <f t="shared" si="2"/>
        <v>0</v>
      </c>
    </row>
    <row r="139" spans="1:5" x14ac:dyDescent="0.2">
      <c r="A139" s="24"/>
      <c r="B139" s="4" t="s">
        <v>141</v>
      </c>
      <c r="C139" s="53">
        <f>Produksi!F150</f>
        <v>0</v>
      </c>
      <c r="D139" s="56">
        <v>1</v>
      </c>
      <c r="E139" s="57">
        <f t="shared" si="2"/>
        <v>0</v>
      </c>
    </row>
    <row r="140" spans="1:5" x14ac:dyDescent="0.2">
      <c r="A140" s="23"/>
      <c r="B140" s="3" t="s">
        <v>142</v>
      </c>
      <c r="C140" s="53">
        <f>Produksi!F151</f>
        <v>0</v>
      </c>
      <c r="D140" s="56">
        <v>1</v>
      </c>
      <c r="E140" s="57">
        <f t="shared" si="2"/>
        <v>0</v>
      </c>
    </row>
    <row r="141" spans="1:5" x14ac:dyDescent="0.2">
      <c r="A141" s="24"/>
      <c r="B141" s="4" t="s">
        <v>143</v>
      </c>
      <c r="C141" s="53">
        <f>Produksi!F152</f>
        <v>0</v>
      </c>
      <c r="D141" s="56">
        <v>1</v>
      </c>
      <c r="E141" s="57">
        <f t="shared" si="2"/>
        <v>0</v>
      </c>
    </row>
    <row r="142" spans="1:5" x14ac:dyDescent="0.2">
      <c r="A142" s="34"/>
      <c r="B142" s="4" t="s">
        <v>144</v>
      </c>
      <c r="C142" s="53">
        <f>Produksi!F153</f>
        <v>0</v>
      </c>
      <c r="D142" s="56">
        <v>1</v>
      </c>
      <c r="E142" s="57">
        <f t="shared" si="2"/>
        <v>0</v>
      </c>
    </row>
    <row r="143" spans="1:5" x14ac:dyDescent="0.2">
      <c r="A143" s="24"/>
      <c r="B143" s="4" t="s">
        <v>145</v>
      </c>
      <c r="C143" s="53">
        <f>Produksi!F154</f>
        <v>0</v>
      </c>
      <c r="D143" s="56">
        <v>1</v>
      </c>
      <c r="E143" s="57">
        <f t="shared" si="2"/>
        <v>0</v>
      </c>
    </row>
    <row r="144" spans="1:5" x14ac:dyDescent="0.2">
      <c r="A144" s="34"/>
      <c r="B144" s="4" t="s">
        <v>146</v>
      </c>
      <c r="C144" s="53">
        <f>Produksi!F155</f>
        <v>3017.43</v>
      </c>
      <c r="D144" s="56">
        <v>0.5</v>
      </c>
      <c r="E144" s="57">
        <f t="shared" si="2"/>
        <v>1508.7149999999999</v>
      </c>
    </row>
    <row r="145" spans="1:5" x14ac:dyDescent="0.2">
      <c r="A145" s="34"/>
      <c r="B145" s="4" t="s">
        <v>147</v>
      </c>
      <c r="C145" s="53">
        <f>Produksi!F156</f>
        <v>9288.51</v>
      </c>
      <c r="D145" s="56">
        <v>1</v>
      </c>
      <c r="E145" s="57">
        <f t="shared" si="2"/>
        <v>9288.51</v>
      </c>
    </row>
    <row r="146" spans="1:5" x14ac:dyDescent="0.2">
      <c r="A146" s="34"/>
      <c r="B146" s="4" t="s">
        <v>148</v>
      </c>
      <c r="C146" s="53">
        <f>Produksi!F157</f>
        <v>617.46</v>
      </c>
      <c r="D146" s="56">
        <v>1</v>
      </c>
      <c r="E146" s="57">
        <f t="shared" si="2"/>
        <v>617.46</v>
      </c>
    </row>
    <row r="147" spans="1:5" x14ac:dyDescent="0.2">
      <c r="A147" s="34"/>
      <c r="B147" s="4" t="s">
        <v>149</v>
      </c>
      <c r="C147" s="53">
        <f>Produksi!F158</f>
        <v>10233.75</v>
      </c>
      <c r="D147" s="56">
        <v>1</v>
      </c>
      <c r="E147" s="57">
        <f t="shared" si="2"/>
        <v>10233.75</v>
      </c>
    </row>
    <row r="148" spans="1:5" x14ac:dyDescent="0.2">
      <c r="A148" s="34"/>
      <c r="B148" s="4" t="s">
        <v>150</v>
      </c>
      <c r="C148" s="53">
        <f>Produksi!F159</f>
        <v>0</v>
      </c>
      <c r="D148" s="56">
        <v>1</v>
      </c>
      <c r="E148" s="57">
        <f t="shared" si="2"/>
        <v>0</v>
      </c>
    </row>
    <row r="149" spans="1:5" x14ac:dyDescent="0.2">
      <c r="A149" s="34"/>
      <c r="B149" s="4" t="s">
        <v>151</v>
      </c>
      <c r="C149" s="53">
        <f>Produksi!F160</f>
        <v>600.47</v>
      </c>
      <c r="D149" s="56">
        <v>1</v>
      </c>
      <c r="E149" s="57">
        <f t="shared" si="2"/>
        <v>600.47</v>
      </c>
    </row>
    <row r="150" spans="1:5" x14ac:dyDescent="0.2">
      <c r="A150" s="24"/>
      <c r="B150" s="4" t="s">
        <v>152</v>
      </c>
      <c r="C150" s="53">
        <f>Produksi!F161</f>
        <v>0</v>
      </c>
      <c r="D150" s="56">
        <v>1</v>
      </c>
      <c r="E150" s="57">
        <f t="shared" si="2"/>
        <v>0</v>
      </c>
    </row>
    <row r="151" spans="1:5" x14ac:dyDescent="0.2">
      <c r="A151" s="34"/>
      <c r="B151" s="4" t="s">
        <v>153</v>
      </c>
      <c r="C151" s="53">
        <f>Produksi!F162</f>
        <v>0</v>
      </c>
      <c r="D151" s="56">
        <v>1</v>
      </c>
      <c r="E151" s="57">
        <f t="shared" si="2"/>
        <v>0</v>
      </c>
    </row>
    <row r="152" spans="1:5" x14ac:dyDescent="0.2">
      <c r="A152" s="24"/>
      <c r="B152" s="4" t="s">
        <v>154</v>
      </c>
      <c r="C152" s="53">
        <f>Produksi!F163</f>
        <v>0</v>
      </c>
      <c r="D152" s="56">
        <v>1</v>
      </c>
      <c r="E152" s="57">
        <f t="shared" si="2"/>
        <v>0</v>
      </c>
    </row>
    <row r="153" spans="1:5" ht="22.5" x14ac:dyDescent="0.2">
      <c r="A153" s="23"/>
      <c r="B153" s="17" t="s">
        <v>155</v>
      </c>
      <c r="C153" s="53">
        <f>Produksi!F164</f>
        <v>0</v>
      </c>
      <c r="D153" s="56">
        <v>1</v>
      </c>
      <c r="E153" s="57">
        <f t="shared" si="2"/>
        <v>0</v>
      </c>
    </row>
    <row r="154" spans="1:5" x14ac:dyDescent="0.2">
      <c r="A154" s="29"/>
      <c r="B154" s="18" t="s">
        <v>156</v>
      </c>
      <c r="C154" s="53">
        <f>Produksi!F165</f>
        <v>0</v>
      </c>
      <c r="D154" s="56">
        <v>1</v>
      </c>
      <c r="E154" s="57">
        <f t="shared" si="2"/>
        <v>0</v>
      </c>
    </row>
    <row r="155" spans="1:5" x14ac:dyDescent="0.2">
      <c r="A155" s="29"/>
      <c r="B155" s="18" t="s">
        <v>28</v>
      </c>
      <c r="C155" s="53">
        <f>Produksi!F166</f>
        <v>0</v>
      </c>
      <c r="D155" s="56">
        <v>0.5</v>
      </c>
      <c r="E155" s="57">
        <f t="shared" si="2"/>
        <v>0</v>
      </c>
    </row>
    <row r="156" spans="1:5" x14ac:dyDescent="0.2">
      <c r="A156" s="29"/>
      <c r="B156" s="18" t="s">
        <v>29</v>
      </c>
      <c r="C156" s="53">
        <f>Produksi!F167</f>
        <v>0</v>
      </c>
      <c r="E156" s="57">
        <f t="shared" si="2"/>
        <v>0</v>
      </c>
    </row>
    <row r="157" spans="1:5" x14ac:dyDescent="0.2">
      <c r="A157" s="29"/>
      <c r="B157" s="18" t="s">
        <v>30</v>
      </c>
      <c r="C157" s="53">
        <f>Produksi!F168</f>
        <v>0</v>
      </c>
      <c r="E157" s="57">
        <f t="shared" si="2"/>
        <v>0</v>
      </c>
    </row>
    <row r="158" spans="1:5" x14ac:dyDescent="0.2">
      <c r="A158" s="29"/>
      <c r="B158" s="18" t="s">
        <v>31</v>
      </c>
      <c r="C158" s="53">
        <f>Produksi!F169</f>
        <v>0</v>
      </c>
      <c r="E158" s="57">
        <f t="shared" si="2"/>
        <v>0</v>
      </c>
    </row>
    <row r="159" spans="1:5" x14ac:dyDescent="0.2">
      <c r="A159" s="29"/>
      <c r="B159" s="18" t="s">
        <v>32</v>
      </c>
      <c r="C159" s="53">
        <f>Produksi!F170</f>
        <v>0</v>
      </c>
      <c r="D159" s="56">
        <v>0</v>
      </c>
      <c r="E159" s="57">
        <f t="shared" si="2"/>
        <v>0</v>
      </c>
    </row>
    <row r="160" spans="1:5" x14ac:dyDescent="0.2">
      <c r="A160" s="29"/>
      <c r="B160" s="18" t="s">
        <v>33</v>
      </c>
      <c r="C160" s="53">
        <f>Produksi!F171</f>
        <v>103.33</v>
      </c>
      <c r="D160" s="56">
        <v>1.56</v>
      </c>
      <c r="E160" s="57">
        <f t="shared" si="2"/>
        <v>161.19480000000001</v>
      </c>
    </row>
    <row r="161" spans="1:5" x14ac:dyDescent="0.2">
      <c r="A161" s="24"/>
      <c r="B161" s="20" t="s">
        <v>34</v>
      </c>
      <c r="C161" s="53">
        <f>Produksi!F172</f>
        <v>0</v>
      </c>
      <c r="D161" s="56">
        <v>2.61</v>
      </c>
      <c r="E161" s="57">
        <f t="shared" si="2"/>
        <v>0</v>
      </c>
    </row>
    <row r="162" spans="1:5" x14ac:dyDescent="0.2">
      <c r="A162" s="24"/>
      <c r="B162" s="20" t="s">
        <v>35</v>
      </c>
      <c r="C162" s="53">
        <f>Produksi!F173</f>
        <v>0</v>
      </c>
      <c r="D162" s="56">
        <v>1.55</v>
      </c>
      <c r="E162" s="57">
        <f t="shared" si="2"/>
        <v>0</v>
      </c>
    </row>
    <row r="163" spans="1:5" x14ac:dyDescent="0.2">
      <c r="A163" s="24"/>
      <c r="B163" s="20" t="s">
        <v>36</v>
      </c>
      <c r="C163" s="53">
        <f>Produksi!F174</f>
        <v>0</v>
      </c>
      <c r="E163" s="57">
        <f t="shared" si="2"/>
        <v>0</v>
      </c>
    </row>
    <row r="164" spans="1:5" x14ac:dyDescent="0.2">
      <c r="A164" s="24"/>
      <c r="B164" s="20" t="s">
        <v>37</v>
      </c>
      <c r="C164" s="53">
        <f>Produksi!F175</f>
        <v>0</v>
      </c>
      <c r="E164" s="57">
        <f t="shared" si="2"/>
        <v>0</v>
      </c>
    </row>
    <row r="165" spans="1:5" x14ac:dyDescent="0.2">
      <c r="A165" s="24"/>
      <c r="B165" s="20" t="s">
        <v>38</v>
      </c>
      <c r="C165" s="53">
        <f>Produksi!F176</f>
        <v>0</v>
      </c>
      <c r="E165" s="57">
        <f t="shared" si="2"/>
        <v>0</v>
      </c>
    </row>
    <row r="166" spans="1:5" x14ac:dyDescent="0.2">
      <c r="A166" s="34"/>
      <c r="B166" s="4" t="s">
        <v>157</v>
      </c>
      <c r="C166" s="53">
        <f>Produksi!F177</f>
        <v>1800.55</v>
      </c>
      <c r="E166" s="57">
        <f t="shared" si="2"/>
        <v>0</v>
      </c>
    </row>
    <row r="167" spans="1:5" x14ac:dyDescent="0.2">
      <c r="A167" s="35"/>
      <c r="B167" s="4"/>
      <c r="C167" s="53">
        <f>Produksi!F178</f>
        <v>0</v>
      </c>
      <c r="E167" s="57">
        <f t="shared" si="2"/>
        <v>0</v>
      </c>
    </row>
    <row r="168" spans="1:5" x14ac:dyDescent="0.2">
      <c r="A168" s="7" t="s">
        <v>39</v>
      </c>
      <c r="B168" s="4"/>
      <c r="C168" s="53">
        <f>Produksi!F179</f>
        <v>0</v>
      </c>
      <c r="E168" s="57">
        <f t="shared" si="2"/>
        <v>0</v>
      </c>
    </row>
    <row r="169" spans="1:5" x14ac:dyDescent="0.2">
      <c r="A169" s="6"/>
      <c r="B169" s="19" t="s">
        <v>40</v>
      </c>
      <c r="C169" s="53">
        <f>Produksi!F180</f>
        <v>0</v>
      </c>
      <c r="E169" s="57">
        <f t="shared" si="2"/>
        <v>0</v>
      </c>
    </row>
    <row r="170" spans="1:5" x14ac:dyDescent="0.2">
      <c r="A170" s="23"/>
      <c r="B170" s="3" t="s">
        <v>158</v>
      </c>
      <c r="C170" s="53">
        <f>Produksi!F181</f>
        <v>0</v>
      </c>
      <c r="E170" s="57">
        <f t="shared" si="2"/>
        <v>0</v>
      </c>
    </row>
    <row r="171" spans="1:5" x14ac:dyDescent="0.2">
      <c r="A171" s="23"/>
      <c r="B171" s="3" t="s">
        <v>159</v>
      </c>
      <c r="C171" s="53">
        <f>Produksi!F182</f>
        <v>0</v>
      </c>
      <c r="D171" s="56">
        <v>1.56</v>
      </c>
      <c r="E171" s="57">
        <f t="shared" si="2"/>
        <v>0</v>
      </c>
    </row>
    <row r="172" spans="1:5" x14ac:dyDescent="0.2">
      <c r="A172" s="23"/>
      <c r="B172" s="3" t="s">
        <v>160</v>
      </c>
      <c r="C172" s="53">
        <f>Produksi!F183</f>
        <v>0</v>
      </c>
      <c r="D172" s="56">
        <v>1.55</v>
      </c>
      <c r="E172" s="57">
        <f t="shared" si="2"/>
        <v>0</v>
      </c>
    </row>
    <row r="173" spans="1:5" x14ac:dyDescent="0.2">
      <c r="A173" s="23"/>
      <c r="B173" s="20" t="s">
        <v>41</v>
      </c>
      <c r="C173" s="53">
        <f>Produksi!F184</f>
        <v>0</v>
      </c>
      <c r="E173" s="57">
        <f t="shared" si="2"/>
        <v>0</v>
      </c>
    </row>
    <row r="174" spans="1:5" x14ac:dyDescent="0.2">
      <c r="A174" s="23"/>
      <c r="B174" s="20" t="s">
        <v>42</v>
      </c>
      <c r="C174" s="53">
        <f>Produksi!F185</f>
        <v>0</v>
      </c>
      <c r="E174" s="57">
        <f t="shared" si="2"/>
        <v>0</v>
      </c>
    </row>
    <row r="175" spans="1:5" x14ac:dyDescent="0.2">
      <c r="A175" s="23"/>
      <c r="B175" s="20" t="s">
        <v>43</v>
      </c>
      <c r="C175" s="53">
        <f>Produksi!F186</f>
        <v>0</v>
      </c>
      <c r="E175" s="57">
        <f t="shared" si="2"/>
        <v>0</v>
      </c>
    </row>
    <row r="176" spans="1:5" x14ac:dyDescent="0.2">
      <c r="A176" s="23"/>
      <c r="B176" s="20" t="s">
        <v>44</v>
      </c>
      <c r="C176" s="53">
        <f>Produksi!F187</f>
        <v>0</v>
      </c>
      <c r="E176" s="57">
        <f t="shared" si="2"/>
        <v>0</v>
      </c>
    </row>
    <row r="177" spans="1:5" x14ac:dyDescent="0.2">
      <c r="A177" s="23"/>
      <c r="B177" s="21"/>
      <c r="C177" s="53">
        <f>Produksi!F188</f>
        <v>0</v>
      </c>
      <c r="E177" s="57">
        <f t="shared" si="2"/>
        <v>0</v>
      </c>
    </row>
    <row r="178" spans="1:5" x14ac:dyDescent="0.2">
      <c r="A178" s="24"/>
      <c r="B178" s="4" t="s">
        <v>161</v>
      </c>
      <c r="C178" s="53">
        <f>Produksi!F189</f>
        <v>117.91468295006402</v>
      </c>
      <c r="E178" s="57">
        <f t="shared" si="2"/>
        <v>0</v>
      </c>
    </row>
    <row r="179" spans="1:5" x14ac:dyDescent="0.2">
      <c r="A179" s="24"/>
      <c r="B179" s="4" t="s">
        <v>162</v>
      </c>
      <c r="C179" s="53">
        <f>Produksi!F190</f>
        <v>9.0188264055307599</v>
      </c>
      <c r="E179" s="57">
        <f t="shared" si="2"/>
        <v>0</v>
      </c>
    </row>
    <row r="180" spans="1:5" x14ac:dyDescent="0.2">
      <c r="A180" s="24"/>
      <c r="B180" s="4" t="s">
        <v>163</v>
      </c>
      <c r="C180" s="53">
        <f>Produksi!F191</f>
        <v>5.0385487346193996</v>
      </c>
      <c r="E180" s="57">
        <f t="shared" si="2"/>
        <v>0</v>
      </c>
    </row>
    <row r="181" spans="1:5" x14ac:dyDescent="0.2">
      <c r="A181" s="34"/>
      <c r="B181" s="4" t="s">
        <v>164</v>
      </c>
      <c r="C181" s="53">
        <f>Produksi!F192</f>
        <v>0</v>
      </c>
      <c r="E181" s="57">
        <f t="shared" si="2"/>
        <v>0</v>
      </c>
    </row>
    <row r="182" spans="1:5" x14ac:dyDescent="0.2">
      <c r="A182" s="23"/>
      <c r="B182" s="4" t="s">
        <v>165</v>
      </c>
      <c r="C182" s="53">
        <f>Produksi!F193</f>
        <v>0</v>
      </c>
      <c r="E182" s="57">
        <f t="shared" si="2"/>
        <v>0</v>
      </c>
    </row>
    <row r="183" spans="1:5" x14ac:dyDescent="0.2">
      <c r="A183" s="36"/>
      <c r="B183" s="37"/>
      <c r="C183" s="54"/>
      <c r="E183" s="57">
        <f t="shared" si="2"/>
        <v>0</v>
      </c>
    </row>
  </sheetData>
  <mergeCells count="8">
    <mergeCell ref="A1:F1"/>
    <mergeCell ref="A2:F2"/>
    <mergeCell ref="A4:B4"/>
    <mergeCell ref="G4:G5"/>
    <mergeCell ref="A5:B5"/>
    <mergeCell ref="D4:D5"/>
    <mergeCell ref="E4:E5"/>
    <mergeCell ref="C4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93"/>
  <sheetViews>
    <sheetView topLeftCell="C1" zoomScale="90" workbookViewId="0">
      <selection activeCell="F19" sqref="F19"/>
    </sheetView>
  </sheetViews>
  <sheetFormatPr defaultColWidth="8.85546875" defaultRowHeight="11.25" x14ac:dyDescent="0.2"/>
  <cols>
    <col min="1" max="1" width="2.7109375" style="22" customWidth="1"/>
    <col min="2" max="2" width="2.7109375" style="249" customWidth="1"/>
    <col min="3" max="3" width="40.7109375" style="22" customWidth="1"/>
    <col min="4" max="4" width="16.28515625" style="545" customWidth="1"/>
    <col min="5" max="5" width="11.85546875" style="423" customWidth="1"/>
    <col min="6" max="6" width="21.140625" style="545" customWidth="1"/>
    <col min="7" max="7" width="33.5703125" style="22" bestFit="1" customWidth="1"/>
    <col min="8" max="9" width="3.5703125" style="22" customWidth="1"/>
    <col min="10" max="10" width="27.28515625" style="22" bestFit="1" customWidth="1"/>
    <col min="11" max="11" width="11.7109375" style="260" customWidth="1"/>
    <col min="12" max="12" width="6.7109375" style="22" bestFit="1" customWidth="1"/>
    <col min="13" max="13" width="17.85546875" style="22" customWidth="1"/>
    <col min="14" max="14" width="13.7109375" style="22" customWidth="1"/>
    <col min="15" max="15" width="15.85546875" style="22" customWidth="1"/>
    <col min="16" max="16384" width="8.85546875" style="22"/>
  </cols>
  <sheetData>
    <row r="1" spans="1:15" x14ac:dyDescent="0.2">
      <c r="A1" s="590" t="s">
        <v>0</v>
      </c>
      <c r="B1" s="591"/>
      <c r="C1" s="591"/>
      <c r="D1" s="591"/>
      <c r="E1" s="591"/>
      <c r="F1" s="591"/>
      <c r="G1" s="592"/>
    </row>
    <row r="2" spans="1:15" x14ac:dyDescent="0.2">
      <c r="A2" s="593" t="s">
        <v>1</v>
      </c>
      <c r="B2" s="594"/>
      <c r="C2" s="594"/>
      <c r="D2" s="594"/>
      <c r="E2" s="594"/>
      <c r="F2" s="594"/>
      <c r="G2" s="595"/>
    </row>
    <row r="3" spans="1:15" ht="10.15" customHeight="1" x14ac:dyDescent="0.2">
      <c r="A3" s="596" t="s">
        <v>633</v>
      </c>
      <c r="B3" s="597"/>
      <c r="C3" s="597"/>
      <c r="D3" s="597"/>
      <c r="E3" s="597"/>
      <c r="F3" s="597"/>
      <c r="G3" s="598"/>
      <c r="J3" s="601" t="s">
        <v>181</v>
      </c>
      <c r="K3" s="601"/>
    </row>
    <row r="4" spans="1:15" ht="20.25" customHeight="1" x14ac:dyDescent="0.2">
      <c r="A4" s="602" t="s">
        <v>48</v>
      </c>
      <c r="B4" s="602"/>
      <c r="C4" s="602"/>
      <c r="D4" s="542" t="s">
        <v>45</v>
      </c>
      <c r="E4" s="603" t="s">
        <v>380</v>
      </c>
      <c r="F4" s="587" t="s">
        <v>391</v>
      </c>
      <c r="G4" s="602" t="s">
        <v>430</v>
      </c>
      <c r="J4" s="601"/>
      <c r="K4" s="601"/>
      <c r="M4" s="452" t="s">
        <v>570</v>
      </c>
      <c r="N4" s="548">
        <v>248105</v>
      </c>
    </row>
    <row r="5" spans="1:15" ht="14.45" customHeight="1" x14ac:dyDescent="0.2">
      <c r="A5" s="604" t="s">
        <v>49</v>
      </c>
      <c r="B5" s="604"/>
      <c r="C5" s="604"/>
      <c r="D5" s="542" t="s">
        <v>47</v>
      </c>
      <c r="E5" s="603"/>
      <c r="F5" s="542" t="s">
        <v>47</v>
      </c>
      <c r="G5" s="602"/>
      <c r="J5" s="284" t="s">
        <v>182</v>
      </c>
      <c r="K5" s="278">
        <v>0.63954411919537901</v>
      </c>
      <c r="M5" s="589" t="s">
        <v>571</v>
      </c>
      <c r="N5" s="589"/>
      <c r="O5" s="589"/>
    </row>
    <row r="6" spans="1:15" x14ac:dyDescent="0.2">
      <c r="A6" s="307" t="s">
        <v>396</v>
      </c>
      <c r="B6" s="308"/>
      <c r="C6" s="308"/>
      <c r="D6" s="543"/>
      <c r="E6" s="421"/>
      <c r="F6" s="543"/>
      <c r="G6" s="46"/>
      <c r="J6" s="284" t="s">
        <v>183</v>
      </c>
      <c r="K6" s="278">
        <v>0.63680587482195894</v>
      </c>
      <c r="M6" s="284" t="s">
        <v>48</v>
      </c>
      <c r="N6" s="284" t="s">
        <v>569</v>
      </c>
      <c r="O6" s="284" t="s">
        <v>627</v>
      </c>
    </row>
    <row r="7" spans="1:15" ht="11.45" customHeight="1" x14ac:dyDescent="0.2">
      <c r="A7" s="599">
        <v>1</v>
      </c>
      <c r="B7" s="308" t="s">
        <v>450</v>
      </c>
      <c r="C7" s="308"/>
      <c r="D7" s="543">
        <v>45791</v>
      </c>
      <c r="E7" s="421">
        <v>1</v>
      </c>
      <c r="F7" s="543">
        <f>D7*E7</f>
        <v>45791</v>
      </c>
      <c r="G7" s="46"/>
      <c r="J7" s="284" t="s">
        <v>184</v>
      </c>
      <c r="K7" s="278">
        <v>0.64280787178177112</v>
      </c>
      <c r="M7" s="277" t="s">
        <v>572</v>
      </c>
      <c r="N7" s="550"/>
      <c r="O7" s="549">
        <f>(N7+(10%*N7))*N4/1000</f>
        <v>0</v>
      </c>
    </row>
    <row r="8" spans="1:15" x14ac:dyDescent="0.2">
      <c r="A8" s="600"/>
      <c r="B8" s="288" t="s">
        <v>390</v>
      </c>
      <c r="C8" s="288"/>
      <c r="D8" s="551">
        <v>26514</v>
      </c>
      <c r="E8" s="529">
        <v>0.64109754091114002</v>
      </c>
      <c r="F8" s="544">
        <f>(D8*E8)</f>
        <v>16998.060199717966</v>
      </c>
      <c r="G8" s="47" t="s">
        <v>170</v>
      </c>
      <c r="J8" s="284" t="s">
        <v>185</v>
      </c>
      <c r="K8" s="278">
        <v>0.637125515667325</v>
      </c>
      <c r="M8" s="284"/>
      <c r="N8" s="549"/>
      <c r="O8" s="549"/>
    </row>
    <row r="9" spans="1:15" x14ac:dyDescent="0.2">
      <c r="A9" s="281">
        <v>2</v>
      </c>
      <c r="B9" s="288" t="s">
        <v>397</v>
      </c>
      <c r="C9" s="288"/>
      <c r="D9" s="544">
        <v>2493.15</v>
      </c>
      <c r="E9" s="422">
        <v>0.73924999999999996</v>
      </c>
      <c r="F9" s="544">
        <f>(D9*E9)</f>
        <v>1843.0611375000001</v>
      </c>
      <c r="G9" s="47" t="s">
        <v>171</v>
      </c>
      <c r="J9" s="284" t="s">
        <v>186</v>
      </c>
      <c r="K9" s="278">
        <v>0.64219839727279504</v>
      </c>
      <c r="M9" s="284"/>
      <c r="N9" s="549"/>
      <c r="O9" s="549"/>
    </row>
    <row r="10" spans="1:15" x14ac:dyDescent="0.2">
      <c r="A10" s="281">
        <v>3</v>
      </c>
      <c r="B10" s="288" t="s">
        <v>394</v>
      </c>
      <c r="C10" s="288"/>
      <c r="D10" s="551">
        <v>0</v>
      </c>
      <c r="E10" s="422">
        <v>1</v>
      </c>
      <c r="F10" s="544">
        <f>D10*E10</f>
        <v>0</v>
      </c>
      <c r="G10" s="47"/>
      <c r="J10" s="284" t="s">
        <v>187</v>
      </c>
      <c r="K10" s="278">
        <v>0.63751506832607296</v>
      </c>
    </row>
    <row r="11" spans="1:15" x14ac:dyDescent="0.2">
      <c r="A11" s="281">
        <v>4</v>
      </c>
      <c r="B11" s="288" t="s">
        <v>369</v>
      </c>
      <c r="C11" s="288"/>
      <c r="D11" s="544"/>
      <c r="F11" s="545">
        <f>F12+F13</f>
        <v>0</v>
      </c>
      <c r="G11" s="47"/>
      <c r="J11" s="284" t="s">
        <v>188</v>
      </c>
      <c r="K11" s="278">
        <v>0.63941268084062097</v>
      </c>
    </row>
    <row r="12" spans="1:15" x14ac:dyDescent="0.2">
      <c r="A12" s="281"/>
      <c r="B12" s="288"/>
      <c r="C12" s="282" t="s">
        <v>573</v>
      </c>
      <c r="D12" s="544"/>
      <c r="E12" s="422">
        <v>1</v>
      </c>
      <c r="F12" s="544">
        <f>D12-F13</f>
        <v>0</v>
      </c>
      <c r="G12" s="47"/>
      <c r="J12" s="284" t="s">
        <v>189</v>
      </c>
      <c r="K12" s="278">
        <v>0.63817862729369801</v>
      </c>
    </row>
    <row r="13" spans="1:15" x14ac:dyDescent="0.2">
      <c r="A13" s="281"/>
      <c r="B13" s="288"/>
      <c r="C13" s="282" t="s">
        <v>54</v>
      </c>
      <c r="D13" s="544"/>
      <c r="E13" s="422">
        <v>0.72</v>
      </c>
      <c r="F13" s="544">
        <f>D13/E13</f>
        <v>0</v>
      </c>
      <c r="G13" s="47" t="s">
        <v>379</v>
      </c>
      <c r="J13" s="284" t="s">
        <v>190</v>
      </c>
      <c r="K13" s="278">
        <v>0.65802562224704397</v>
      </c>
    </row>
    <row r="14" spans="1:15" x14ac:dyDescent="0.2">
      <c r="A14" s="281"/>
      <c r="B14" s="288"/>
      <c r="C14" s="282"/>
      <c r="D14" s="544"/>
      <c r="E14" s="422"/>
      <c r="F14" s="544"/>
      <c r="G14" s="47"/>
      <c r="J14" s="284" t="s">
        <v>191</v>
      </c>
      <c r="K14" s="278">
        <v>0.63526964475719905</v>
      </c>
    </row>
    <row r="15" spans="1:15" x14ac:dyDescent="0.2">
      <c r="A15" s="300" t="s">
        <v>55</v>
      </c>
      <c r="B15" s="291"/>
      <c r="C15" s="282"/>
      <c r="D15" s="544"/>
      <c r="E15" s="422"/>
      <c r="F15" s="544"/>
      <c r="G15" s="47"/>
      <c r="J15" s="284" t="s">
        <v>192</v>
      </c>
      <c r="K15" s="278">
        <v>0.65438125354153098</v>
      </c>
    </row>
    <row r="16" spans="1:15" x14ac:dyDescent="0.2">
      <c r="A16" s="281">
        <v>5</v>
      </c>
      <c r="B16" s="288" t="s">
        <v>370</v>
      </c>
      <c r="C16" s="45"/>
      <c r="D16" s="544">
        <v>0</v>
      </c>
      <c r="E16" s="422">
        <v>1</v>
      </c>
      <c r="F16" s="544">
        <f>D16*E16</f>
        <v>0</v>
      </c>
      <c r="G16" s="47"/>
      <c r="J16" s="284" t="s">
        <v>193</v>
      </c>
      <c r="K16" s="278">
        <v>0.64109754091114002</v>
      </c>
    </row>
    <row r="17" spans="1:11" x14ac:dyDescent="0.2">
      <c r="A17" s="281">
        <v>6</v>
      </c>
      <c r="B17" s="288" t="s">
        <v>371</v>
      </c>
      <c r="C17" s="45"/>
      <c r="D17" s="544"/>
      <c r="F17" s="545">
        <f>SUM(F18:F20)</f>
        <v>163</v>
      </c>
      <c r="G17" s="47"/>
      <c r="J17" s="284" t="s">
        <v>194</v>
      </c>
      <c r="K17" s="278">
        <v>0.63840765165999402</v>
      </c>
    </row>
    <row r="18" spans="1:11" x14ac:dyDescent="0.2">
      <c r="A18" s="281"/>
      <c r="B18" s="288"/>
      <c r="C18" s="45" t="s">
        <v>574</v>
      </c>
      <c r="D18" s="544">
        <v>163</v>
      </c>
      <c r="E18" s="422"/>
      <c r="F18" s="544">
        <f>D18-F19-F20</f>
        <v>163</v>
      </c>
      <c r="G18" s="47"/>
      <c r="J18" s="284" t="s">
        <v>195</v>
      </c>
      <c r="K18" s="278">
        <v>0.63059890246264905</v>
      </c>
    </row>
    <row r="19" spans="1:11" x14ac:dyDescent="0.2">
      <c r="A19" s="281"/>
      <c r="B19" s="288"/>
      <c r="C19" s="282" t="s">
        <v>381</v>
      </c>
      <c r="D19" s="544">
        <v>0</v>
      </c>
      <c r="E19" s="422">
        <v>2.78</v>
      </c>
      <c r="F19" s="544">
        <f>D19*E19</f>
        <v>0</v>
      </c>
      <c r="G19" s="47" t="s">
        <v>388</v>
      </c>
      <c r="J19" s="284" t="s">
        <v>196</v>
      </c>
      <c r="K19" s="278">
        <v>0.641028743750088</v>
      </c>
    </row>
    <row r="20" spans="1:11" x14ac:dyDescent="0.2">
      <c r="A20" s="281"/>
      <c r="B20" s="288"/>
      <c r="C20" s="282" t="s">
        <v>382</v>
      </c>
      <c r="D20" s="544">
        <v>0</v>
      </c>
      <c r="E20" s="422">
        <v>3.57</v>
      </c>
      <c r="F20" s="544">
        <f t="shared" ref="F20" si="0">D20*E20</f>
        <v>0</v>
      </c>
      <c r="G20" s="47" t="s">
        <v>389</v>
      </c>
      <c r="J20" s="284" t="s">
        <v>197</v>
      </c>
      <c r="K20" s="278">
        <v>0.63227043282414697</v>
      </c>
    </row>
    <row r="21" spans="1:11" x14ac:dyDescent="0.2">
      <c r="A21" s="281">
        <v>7</v>
      </c>
      <c r="B21" s="288" t="s">
        <v>372</v>
      </c>
      <c r="C21" s="282"/>
      <c r="D21" s="544"/>
      <c r="E21" s="422"/>
      <c r="F21" s="544">
        <f>F22+F23</f>
        <v>0</v>
      </c>
      <c r="G21" s="47"/>
      <c r="J21" s="284" t="s">
        <v>198</v>
      </c>
      <c r="K21" s="278">
        <v>0.62608102711570301</v>
      </c>
    </row>
    <row r="22" spans="1:11" x14ac:dyDescent="0.2">
      <c r="A22" s="281"/>
      <c r="B22" s="288"/>
      <c r="C22" s="282" t="s">
        <v>395</v>
      </c>
      <c r="D22" s="544">
        <v>0</v>
      </c>
      <c r="E22" s="422"/>
      <c r="F22" s="544">
        <f>D22-F23</f>
        <v>0</v>
      </c>
      <c r="G22" s="47"/>
      <c r="J22" s="284" t="s">
        <v>199</v>
      </c>
      <c r="K22" s="278">
        <v>0.63229144170428098</v>
      </c>
    </row>
    <row r="23" spans="1:11" x14ac:dyDescent="0.2">
      <c r="A23" s="281"/>
      <c r="B23" s="288"/>
      <c r="C23" s="282" t="s">
        <v>383</v>
      </c>
      <c r="D23" s="544">
        <v>0</v>
      </c>
      <c r="E23" s="422">
        <v>5</v>
      </c>
      <c r="F23" s="544">
        <f>D23*E23</f>
        <v>0</v>
      </c>
      <c r="G23" s="47"/>
      <c r="J23" s="284" t="s">
        <v>200</v>
      </c>
      <c r="K23" s="278">
        <v>0.65025500178083606</v>
      </c>
    </row>
    <row r="24" spans="1:11" x14ac:dyDescent="0.2">
      <c r="A24" s="281">
        <v>8</v>
      </c>
      <c r="B24" s="288" t="s">
        <v>368</v>
      </c>
      <c r="C24" s="45"/>
      <c r="D24" s="544"/>
      <c r="E24" s="422">
        <v>1</v>
      </c>
      <c r="F24" s="544">
        <f t="shared" ref="F24" si="1">D24*E24</f>
        <v>0</v>
      </c>
      <c r="G24" s="47"/>
      <c r="J24" s="284" t="s">
        <v>201</v>
      </c>
      <c r="K24" s="278">
        <v>0.65676119690326995</v>
      </c>
    </row>
    <row r="25" spans="1:11" x14ac:dyDescent="0.2">
      <c r="A25" s="281"/>
      <c r="B25" s="288"/>
      <c r="C25" s="282"/>
      <c r="D25" s="544"/>
      <c r="E25" s="422"/>
      <c r="F25" s="544"/>
      <c r="G25" s="47"/>
      <c r="J25" s="284" t="s">
        <v>202</v>
      </c>
      <c r="K25" s="278">
        <v>0.65944828540196299</v>
      </c>
    </row>
    <row r="26" spans="1:11" x14ac:dyDescent="0.2">
      <c r="A26" s="301" t="s">
        <v>59</v>
      </c>
      <c r="B26" s="288"/>
      <c r="C26" s="282"/>
      <c r="D26" s="544"/>
      <c r="E26" s="422"/>
      <c r="F26" s="544"/>
      <c r="G26" s="47"/>
      <c r="J26" s="284" t="s">
        <v>203</v>
      </c>
      <c r="K26" s="278">
        <v>0.64574480651883903</v>
      </c>
    </row>
    <row r="27" spans="1:11" x14ac:dyDescent="0.2">
      <c r="A27" s="281">
        <v>9</v>
      </c>
      <c r="B27" s="288" t="s">
        <v>384</v>
      </c>
      <c r="C27" s="45"/>
      <c r="D27" s="544"/>
      <c r="E27" s="422"/>
      <c r="F27" s="544">
        <f>F28+F29</f>
        <v>0</v>
      </c>
      <c r="G27" s="47"/>
      <c r="J27" s="284" t="s">
        <v>204</v>
      </c>
      <c r="K27" s="278">
        <v>0.65814453392959804</v>
      </c>
    </row>
    <row r="28" spans="1:11" x14ac:dyDescent="0.2">
      <c r="A28" s="281"/>
      <c r="B28" s="66"/>
      <c r="C28" s="45" t="s">
        <v>399</v>
      </c>
      <c r="D28" s="544"/>
      <c r="E28" s="422">
        <v>1</v>
      </c>
      <c r="F28" s="544">
        <f>D28*E28</f>
        <v>0</v>
      </c>
      <c r="G28" s="47"/>
      <c r="J28" s="284" t="s">
        <v>205</v>
      </c>
      <c r="K28" s="278">
        <v>0.62383607580025402</v>
      </c>
    </row>
    <row r="29" spans="1:11" x14ac:dyDescent="0.2">
      <c r="A29" s="281"/>
      <c r="C29" s="282" t="s">
        <v>398</v>
      </c>
      <c r="D29" s="544"/>
      <c r="E29" s="422">
        <v>1</v>
      </c>
      <c r="F29" s="544">
        <f>D29*E29</f>
        <v>0</v>
      </c>
      <c r="G29" s="47"/>
      <c r="J29" s="284" t="s">
        <v>206</v>
      </c>
      <c r="K29" s="278">
        <v>0.65530398383576893</v>
      </c>
    </row>
    <row r="30" spans="1:11" x14ac:dyDescent="0.2">
      <c r="A30" s="281">
        <v>10</v>
      </c>
      <c r="B30" s="288" t="s">
        <v>375</v>
      </c>
      <c r="C30" s="45"/>
      <c r="D30" s="544"/>
      <c r="E30" s="422">
        <v>1</v>
      </c>
      <c r="F30" s="544">
        <f t="shared" ref="F30:F80" si="2">D30*E30</f>
        <v>0</v>
      </c>
      <c r="G30" s="47"/>
      <c r="J30" s="284" t="s">
        <v>207</v>
      </c>
      <c r="K30" s="278">
        <v>0.63705016492700106</v>
      </c>
    </row>
    <row r="31" spans="1:11" x14ac:dyDescent="0.2">
      <c r="A31" s="281"/>
      <c r="B31" s="288"/>
      <c r="C31" s="282"/>
      <c r="D31" s="544"/>
      <c r="E31" s="422"/>
      <c r="F31" s="544"/>
      <c r="G31" s="47"/>
      <c r="J31" s="284" t="s">
        <v>208</v>
      </c>
      <c r="K31" s="278">
        <v>0.63754185105383998</v>
      </c>
    </row>
    <row r="32" spans="1:11" x14ac:dyDescent="0.2">
      <c r="A32" s="301" t="s">
        <v>2</v>
      </c>
      <c r="B32" s="288"/>
      <c r="C32" s="288"/>
      <c r="D32" s="544"/>
      <c r="E32" s="422"/>
      <c r="F32" s="544"/>
      <c r="G32" s="47"/>
      <c r="J32" s="284" t="s">
        <v>209</v>
      </c>
      <c r="K32" s="278">
        <v>0.61987131016949304</v>
      </c>
    </row>
    <row r="33" spans="1:11" x14ac:dyDescent="0.2">
      <c r="A33" s="301"/>
      <c r="B33" s="292" t="s">
        <v>3</v>
      </c>
      <c r="C33" s="292"/>
      <c r="D33" s="544"/>
      <c r="E33" s="422"/>
      <c r="F33" s="544"/>
      <c r="G33" s="47"/>
      <c r="J33" s="284" t="s">
        <v>210</v>
      </c>
      <c r="K33" s="278">
        <v>0.63759280125304096</v>
      </c>
    </row>
    <row r="34" spans="1:11" ht="10.15" customHeight="1" x14ac:dyDescent="0.2">
      <c r="A34" s="281">
        <v>11</v>
      </c>
      <c r="B34" s="288" t="s">
        <v>429</v>
      </c>
      <c r="C34" s="45"/>
      <c r="D34" s="544">
        <v>12</v>
      </c>
      <c r="E34" s="422">
        <v>0.68</v>
      </c>
      <c r="F34" s="544">
        <f>E34*D34</f>
        <v>8.16</v>
      </c>
      <c r="G34" s="47" t="s">
        <v>441</v>
      </c>
      <c r="J34" s="284" t="s">
        <v>211</v>
      </c>
      <c r="K34" s="278">
        <v>0.62169972852370403</v>
      </c>
    </row>
    <row r="35" spans="1:11" x14ac:dyDescent="0.2">
      <c r="A35" s="281">
        <v>12</v>
      </c>
      <c r="B35" s="288" t="s">
        <v>373</v>
      </c>
      <c r="C35" s="45"/>
      <c r="D35" s="544"/>
      <c r="E35" s="422">
        <v>1</v>
      </c>
      <c r="F35" s="544">
        <f t="shared" si="2"/>
        <v>0</v>
      </c>
      <c r="G35" s="47"/>
      <c r="J35" s="284" t="s">
        <v>212</v>
      </c>
      <c r="K35" s="278">
        <v>0.62125446189033096</v>
      </c>
    </row>
    <row r="36" spans="1:11" x14ac:dyDescent="0.2">
      <c r="A36" s="281">
        <v>13</v>
      </c>
      <c r="B36" s="288" t="s">
        <v>374</v>
      </c>
      <c r="C36" s="45"/>
      <c r="D36" s="544"/>
      <c r="E36" s="422">
        <v>1</v>
      </c>
      <c r="F36" s="544">
        <f>D36*E36</f>
        <v>0</v>
      </c>
      <c r="G36" s="47"/>
      <c r="J36" s="284" t="s">
        <v>213</v>
      </c>
      <c r="K36" s="278">
        <v>0.66704014932531808</v>
      </c>
    </row>
    <row r="37" spans="1:11" x14ac:dyDescent="0.2">
      <c r="A37" s="281">
        <v>14</v>
      </c>
      <c r="B37" s="288" t="s">
        <v>428</v>
      </c>
      <c r="C37" s="45"/>
      <c r="D37" s="544">
        <v>0</v>
      </c>
      <c r="F37" s="545">
        <f>F38+F39</f>
        <v>0</v>
      </c>
      <c r="G37" s="47"/>
      <c r="J37" s="284" t="s">
        <v>214</v>
      </c>
      <c r="K37" s="278">
        <v>0.63388732472111997</v>
      </c>
    </row>
    <row r="38" spans="1:11" x14ac:dyDescent="0.2">
      <c r="A38" s="281"/>
      <c r="B38" s="288"/>
      <c r="C38" s="45" t="s">
        <v>426</v>
      </c>
      <c r="D38" s="552">
        <v>0</v>
      </c>
      <c r="E38" s="422">
        <v>1</v>
      </c>
      <c r="F38" s="544">
        <f>D38*E38</f>
        <v>0</v>
      </c>
      <c r="G38" s="47"/>
      <c r="J38" s="22" t="s">
        <v>431</v>
      </c>
      <c r="K38" s="312"/>
    </row>
    <row r="39" spans="1:11" x14ac:dyDescent="0.2">
      <c r="A39" s="281"/>
      <c r="B39" s="288"/>
      <c r="C39" s="282" t="s">
        <v>427</v>
      </c>
      <c r="D39" s="546">
        <v>0</v>
      </c>
      <c r="E39" s="422">
        <v>5</v>
      </c>
      <c r="F39" s="546">
        <f>D39*E39</f>
        <v>0</v>
      </c>
      <c r="G39" s="47" t="s">
        <v>525</v>
      </c>
      <c r="K39" s="22"/>
    </row>
    <row r="40" spans="1:11" x14ac:dyDescent="0.2">
      <c r="A40" s="281"/>
      <c r="B40" s="288"/>
      <c r="C40" s="282"/>
      <c r="D40" s="544"/>
      <c r="E40" s="422"/>
      <c r="F40" s="544"/>
      <c r="G40" s="47"/>
      <c r="K40" s="22"/>
    </row>
    <row r="41" spans="1:11" x14ac:dyDescent="0.2">
      <c r="A41" s="301" t="s">
        <v>68</v>
      </c>
      <c r="B41" s="288"/>
      <c r="C41" s="282"/>
      <c r="D41" s="544"/>
      <c r="E41" s="422"/>
      <c r="F41" s="544"/>
      <c r="G41" s="47"/>
      <c r="K41" s="22"/>
    </row>
    <row r="42" spans="1:11" x14ac:dyDescent="0.2">
      <c r="A42" s="281">
        <v>15</v>
      </c>
      <c r="B42" s="295" t="s">
        <v>400</v>
      </c>
      <c r="C42" s="45"/>
      <c r="D42" s="544">
        <v>85.3</v>
      </c>
      <c r="E42" s="422">
        <v>1</v>
      </c>
      <c r="F42" s="544">
        <f>D42*E42</f>
        <v>85.3</v>
      </c>
      <c r="G42" s="47"/>
      <c r="J42" s="22">
        <v>83.3</v>
      </c>
      <c r="K42" s="22"/>
    </row>
    <row r="43" spans="1:11" x14ac:dyDescent="0.2">
      <c r="A43" s="281">
        <v>16</v>
      </c>
      <c r="B43" s="295" t="s">
        <v>401</v>
      </c>
      <c r="C43" s="45"/>
      <c r="D43" s="544">
        <v>2</v>
      </c>
      <c r="E43" s="422">
        <v>1</v>
      </c>
      <c r="F43" s="544">
        <f t="shared" si="2"/>
        <v>2</v>
      </c>
      <c r="G43" s="47"/>
      <c r="J43" s="22">
        <v>1</v>
      </c>
    </row>
    <row r="44" spans="1:11" x14ac:dyDescent="0.2">
      <c r="A44" s="281">
        <v>17</v>
      </c>
      <c r="B44" s="295" t="s">
        <v>402</v>
      </c>
      <c r="C44" s="45"/>
      <c r="D44" s="544">
        <v>5706.2</v>
      </c>
      <c r="E44" s="422">
        <v>1</v>
      </c>
      <c r="F44" s="544">
        <f t="shared" si="2"/>
        <v>5706.2</v>
      </c>
      <c r="G44" s="47"/>
      <c r="J44" s="22">
        <v>5506.2</v>
      </c>
    </row>
    <row r="45" spans="1:11" x14ac:dyDescent="0.2">
      <c r="A45" s="281">
        <v>18</v>
      </c>
      <c r="B45" s="295" t="s">
        <v>403</v>
      </c>
      <c r="C45" s="45"/>
      <c r="D45" s="544">
        <v>4808.8999999999996</v>
      </c>
      <c r="E45" s="422">
        <v>1</v>
      </c>
      <c r="F45" s="544">
        <f t="shared" si="2"/>
        <v>4808.8999999999996</v>
      </c>
      <c r="G45" s="47"/>
      <c r="J45" s="22">
        <v>4508.8999999999996</v>
      </c>
    </row>
    <row r="46" spans="1:11" x14ac:dyDescent="0.2">
      <c r="A46" s="281">
        <v>19</v>
      </c>
      <c r="B46" s="295" t="s">
        <v>404</v>
      </c>
      <c r="C46" s="45"/>
      <c r="D46" s="544">
        <v>10.199999999999999</v>
      </c>
      <c r="E46" s="422">
        <v>1</v>
      </c>
      <c r="F46" s="544">
        <f t="shared" si="2"/>
        <v>10.199999999999999</v>
      </c>
      <c r="G46" s="47"/>
      <c r="J46" s="22">
        <v>8.1999999999999993</v>
      </c>
    </row>
    <row r="47" spans="1:11" x14ac:dyDescent="0.2">
      <c r="A47" s="281">
        <v>20</v>
      </c>
      <c r="B47" s="295" t="s">
        <v>405</v>
      </c>
      <c r="C47" s="45"/>
      <c r="D47" s="544">
        <v>8</v>
      </c>
      <c r="E47" s="422">
        <v>1</v>
      </c>
      <c r="F47" s="544">
        <f t="shared" si="2"/>
        <v>8</v>
      </c>
      <c r="G47" s="47"/>
      <c r="J47" s="22">
        <v>5.2</v>
      </c>
    </row>
    <row r="48" spans="1:11" x14ac:dyDescent="0.2">
      <c r="A48" s="281">
        <v>21</v>
      </c>
      <c r="B48" s="295" t="s">
        <v>406</v>
      </c>
      <c r="C48" s="45"/>
      <c r="D48" s="544">
        <v>198.3</v>
      </c>
      <c r="E48" s="422">
        <v>1</v>
      </c>
      <c r="F48" s="544">
        <f t="shared" si="2"/>
        <v>198.3</v>
      </c>
      <c r="G48" s="47"/>
      <c r="J48" s="22">
        <v>196.3</v>
      </c>
    </row>
    <row r="49" spans="1:10" x14ac:dyDescent="0.2">
      <c r="A49" s="281">
        <v>22</v>
      </c>
      <c r="B49" s="295" t="s">
        <v>407</v>
      </c>
      <c r="C49" s="45"/>
      <c r="D49" s="544">
        <v>75.099999999999994</v>
      </c>
      <c r="E49" s="422">
        <v>1</v>
      </c>
      <c r="F49" s="544">
        <f t="shared" si="2"/>
        <v>75.099999999999994</v>
      </c>
      <c r="G49" s="47"/>
      <c r="J49" s="22">
        <v>73.099999999999994</v>
      </c>
    </row>
    <row r="50" spans="1:10" x14ac:dyDescent="0.2">
      <c r="A50" s="281">
        <v>23</v>
      </c>
      <c r="B50" s="295" t="s">
        <v>408</v>
      </c>
      <c r="C50" s="45"/>
      <c r="D50" s="544">
        <v>557.79999999999995</v>
      </c>
      <c r="E50" s="422">
        <v>1</v>
      </c>
      <c r="F50" s="544">
        <f t="shared" si="2"/>
        <v>557.79999999999995</v>
      </c>
      <c r="G50" s="47"/>
      <c r="J50" s="22">
        <v>517.79999999999995</v>
      </c>
    </row>
    <row r="51" spans="1:10" x14ac:dyDescent="0.2">
      <c r="A51" s="281">
        <v>24</v>
      </c>
      <c r="B51" s="295" t="s">
        <v>409</v>
      </c>
      <c r="C51" s="45"/>
      <c r="D51" s="544">
        <v>488</v>
      </c>
      <c r="E51" s="422">
        <v>1</v>
      </c>
      <c r="F51" s="544">
        <f t="shared" si="2"/>
        <v>488</v>
      </c>
      <c r="G51" s="47"/>
      <c r="J51" s="22">
        <v>458</v>
      </c>
    </row>
    <row r="52" spans="1:10" x14ac:dyDescent="0.2">
      <c r="A52" s="281">
        <v>25</v>
      </c>
      <c r="B52" s="295" t="s">
        <v>410</v>
      </c>
      <c r="C52" s="45"/>
      <c r="D52" s="544">
        <v>374</v>
      </c>
      <c r="E52" s="422">
        <v>1</v>
      </c>
      <c r="F52" s="544">
        <f t="shared" si="2"/>
        <v>374</v>
      </c>
      <c r="G52" s="47"/>
      <c r="J52" s="22">
        <v>314</v>
      </c>
    </row>
    <row r="53" spans="1:10" x14ac:dyDescent="0.2">
      <c r="A53" s="281">
        <v>26</v>
      </c>
      <c r="B53" s="295" t="s">
        <v>411</v>
      </c>
      <c r="C53" s="45"/>
      <c r="D53" s="544">
        <v>48.6</v>
      </c>
      <c r="E53" s="422">
        <v>1</v>
      </c>
      <c r="F53" s="544">
        <f t="shared" si="2"/>
        <v>48.6</v>
      </c>
      <c r="G53" s="47"/>
      <c r="J53" s="22">
        <v>42.6</v>
      </c>
    </row>
    <row r="54" spans="1:10" x14ac:dyDescent="0.2">
      <c r="A54" s="281">
        <v>27</v>
      </c>
      <c r="B54" s="295" t="s">
        <v>412</v>
      </c>
      <c r="C54" s="45"/>
      <c r="D54" s="544">
        <v>10.6</v>
      </c>
      <c r="E54" s="422">
        <v>1</v>
      </c>
      <c r="F54" s="544">
        <f t="shared" si="2"/>
        <v>10.6</v>
      </c>
      <c r="G54" s="47"/>
      <c r="J54" s="22">
        <v>9.6</v>
      </c>
    </row>
    <row r="55" spans="1:10" x14ac:dyDescent="0.2">
      <c r="A55" s="281">
        <v>28</v>
      </c>
      <c r="B55" s="295" t="s">
        <v>4</v>
      </c>
      <c r="C55" s="45"/>
      <c r="D55" s="544">
        <v>88.4</v>
      </c>
      <c r="E55" s="422">
        <v>1</v>
      </c>
      <c r="F55" s="544">
        <f t="shared" si="2"/>
        <v>88.4</v>
      </c>
      <c r="G55" s="47"/>
      <c r="J55" s="22">
        <v>84.4</v>
      </c>
    </row>
    <row r="56" spans="1:10" x14ac:dyDescent="0.2">
      <c r="A56" s="281">
        <v>29</v>
      </c>
      <c r="B56" s="295" t="s">
        <v>413</v>
      </c>
      <c r="C56" s="45"/>
      <c r="D56" s="544">
        <v>1166.8</v>
      </c>
      <c r="E56" s="422">
        <v>1</v>
      </c>
      <c r="F56" s="544">
        <f t="shared" si="2"/>
        <v>1166.8</v>
      </c>
      <c r="G56" s="47"/>
      <c r="J56" s="22">
        <v>1136.8</v>
      </c>
    </row>
    <row r="57" spans="1:10" x14ac:dyDescent="0.2">
      <c r="A57" s="281">
        <v>30</v>
      </c>
      <c r="B57" s="295" t="s">
        <v>414</v>
      </c>
      <c r="C57" s="45"/>
      <c r="D57" s="544">
        <v>0.8</v>
      </c>
      <c r="E57" s="422">
        <v>1</v>
      </c>
      <c r="F57" s="544">
        <f t="shared" si="2"/>
        <v>0.8</v>
      </c>
      <c r="G57" s="47"/>
      <c r="J57" s="22">
        <v>0.5</v>
      </c>
    </row>
    <row r="58" spans="1:10" x14ac:dyDescent="0.2">
      <c r="A58" s="281">
        <v>31</v>
      </c>
      <c r="B58" s="295" t="s">
        <v>415</v>
      </c>
      <c r="C58" s="45"/>
      <c r="D58" s="544">
        <v>398.5</v>
      </c>
      <c r="E58" s="422">
        <v>1</v>
      </c>
      <c r="F58" s="544">
        <f t="shared" si="2"/>
        <v>398.5</v>
      </c>
      <c r="G58" s="47"/>
      <c r="J58" s="22">
        <v>397.5</v>
      </c>
    </row>
    <row r="59" spans="1:10" x14ac:dyDescent="0.2">
      <c r="A59" s="281">
        <v>32</v>
      </c>
      <c r="B59" s="295" t="s">
        <v>416</v>
      </c>
      <c r="C59" s="45"/>
      <c r="D59" s="544">
        <v>632.70000000000005</v>
      </c>
      <c r="E59" s="422">
        <v>1</v>
      </c>
      <c r="F59" s="544">
        <f t="shared" si="2"/>
        <v>632.70000000000005</v>
      </c>
      <c r="G59" s="47"/>
      <c r="J59" s="22">
        <v>612.70000000000005</v>
      </c>
    </row>
    <row r="60" spans="1:10" x14ac:dyDescent="0.2">
      <c r="A60" s="281">
        <v>33</v>
      </c>
      <c r="B60" s="295" t="s">
        <v>417</v>
      </c>
      <c r="C60" s="45"/>
      <c r="D60" s="544"/>
      <c r="E60" s="422">
        <v>1</v>
      </c>
      <c r="F60" s="544">
        <f t="shared" si="2"/>
        <v>0</v>
      </c>
      <c r="G60" s="47"/>
    </row>
    <row r="61" spans="1:10" x14ac:dyDescent="0.2">
      <c r="A61" s="281">
        <v>34</v>
      </c>
      <c r="B61" s="295" t="s">
        <v>418</v>
      </c>
      <c r="C61" s="45"/>
      <c r="D61" s="544">
        <v>6.9</v>
      </c>
      <c r="E61" s="422">
        <v>1</v>
      </c>
      <c r="F61" s="544">
        <f t="shared" si="2"/>
        <v>6.9</v>
      </c>
      <c r="G61" s="47"/>
      <c r="J61" s="22">
        <v>6.9</v>
      </c>
    </row>
    <row r="62" spans="1:10" x14ac:dyDescent="0.2">
      <c r="A62" s="281">
        <v>35</v>
      </c>
      <c r="B62" s="295" t="s">
        <v>419</v>
      </c>
      <c r="C62" s="45"/>
      <c r="D62" s="544">
        <v>38.6</v>
      </c>
      <c r="E62" s="422">
        <v>1</v>
      </c>
      <c r="F62" s="544">
        <f t="shared" si="2"/>
        <v>38.6</v>
      </c>
      <c r="G62" s="47"/>
      <c r="J62" s="22">
        <v>36.6</v>
      </c>
    </row>
    <row r="63" spans="1:10" x14ac:dyDescent="0.2">
      <c r="A63" s="281">
        <v>36</v>
      </c>
      <c r="B63" s="295" t="s">
        <v>420</v>
      </c>
      <c r="C63" s="45"/>
      <c r="D63" s="544"/>
      <c r="E63" s="422">
        <v>1</v>
      </c>
      <c r="F63" s="544">
        <f t="shared" si="2"/>
        <v>0</v>
      </c>
      <c r="G63" s="47"/>
    </row>
    <row r="64" spans="1:10" x14ac:dyDescent="0.2">
      <c r="A64" s="281">
        <v>37</v>
      </c>
      <c r="B64" s="295" t="s">
        <v>421</v>
      </c>
      <c r="C64" s="45"/>
      <c r="D64" s="544"/>
      <c r="E64" s="422">
        <v>1</v>
      </c>
      <c r="F64" s="544">
        <f t="shared" si="2"/>
        <v>0</v>
      </c>
      <c r="G64" s="47"/>
    </row>
    <row r="65" spans="1:10" x14ac:dyDescent="0.2">
      <c r="A65" s="281">
        <v>38</v>
      </c>
      <c r="B65" s="295" t="s">
        <v>422</v>
      </c>
      <c r="C65" s="45"/>
      <c r="D65" s="544"/>
      <c r="E65" s="422">
        <v>1</v>
      </c>
      <c r="F65" s="544">
        <f t="shared" si="2"/>
        <v>0</v>
      </c>
      <c r="G65" s="47"/>
    </row>
    <row r="66" spans="1:10" x14ac:dyDescent="0.2">
      <c r="A66" s="281">
        <v>39</v>
      </c>
      <c r="B66" s="295" t="s">
        <v>423</v>
      </c>
      <c r="C66" s="45"/>
      <c r="D66" s="544"/>
      <c r="E66" s="422">
        <v>1</v>
      </c>
      <c r="F66" s="544">
        <f t="shared" si="2"/>
        <v>0</v>
      </c>
      <c r="G66" s="47"/>
    </row>
    <row r="67" spans="1:10" x14ac:dyDescent="0.2">
      <c r="A67" s="281">
        <v>40</v>
      </c>
      <c r="B67" s="295" t="s">
        <v>5</v>
      </c>
      <c r="C67" s="45"/>
      <c r="D67" s="544">
        <v>7</v>
      </c>
      <c r="E67" s="422">
        <v>1</v>
      </c>
      <c r="F67" s="544">
        <f t="shared" si="2"/>
        <v>7</v>
      </c>
      <c r="G67" s="47"/>
      <c r="J67" s="22">
        <v>3</v>
      </c>
    </row>
    <row r="68" spans="1:10" x14ac:dyDescent="0.2">
      <c r="A68" s="281">
        <v>41</v>
      </c>
      <c r="B68" s="295" t="s">
        <v>6</v>
      </c>
      <c r="C68" s="45"/>
      <c r="D68" s="544">
        <v>10</v>
      </c>
      <c r="E68" s="422">
        <v>1</v>
      </c>
      <c r="F68" s="544">
        <f t="shared" si="2"/>
        <v>10</v>
      </c>
      <c r="G68" s="47"/>
      <c r="J68" s="22">
        <v>4</v>
      </c>
    </row>
    <row r="69" spans="1:10" x14ac:dyDescent="0.2">
      <c r="A69" s="281">
        <v>42</v>
      </c>
      <c r="B69" s="295" t="s">
        <v>7</v>
      </c>
      <c r="C69" s="45"/>
      <c r="D69" s="544"/>
      <c r="E69" s="422">
        <v>1</v>
      </c>
      <c r="F69" s="544">
        <f t="shared" si="2"/>
        <v>0</v>
      </c>
      <c r="G69" s="47"/>
    </row>
    <row r="70" spans="1:10" x14ac:dyDescent="0.2">
      <c r="A70" s="281">
        <v>43</v>
      </c>
      <c r="B70" s="295" t="s">
        <v>424</v>
      </c>
      <c r="C70" s="45"/>
      <c r="D70" s="544"/>
      <c r="E70" s="422">
        <v>1</v>
      </c>
      <c r="F70" s="544">
        <f t="shared" si="2"/>
        <v>0</v>
      </c>
      <c r="G70" s="47"/>
    </row>
    <row r="71" spans="1:10" x14ac:dyDescent="0.2">
      <c r="A71" s="281">
        <v>44</v>
      </c>
      <c r="B71" s="310" t="s">
        <v>8</v>
      </c>
      <c r="C71" s="45"/>
      <c r="D71" s="544"/>
      <c r="E71" s="422">
        <v>1</v>
      </c>
      <c r="F71" s="544">
        <f t="shared" si="2"/>
        <v>0</v>
      </c>
      <c r="G71" s="47"/>
    </row>
    <row r="72" spans="1:10" x14ac:dyDescent="0.2">
      <c r="A72" s="281">
        <v>45</v>
      </c>
      <c r="B72" s="295" t="s">
        <v>9</v>
      </c>
      <c r="C72" s="45"/>
      <c r="D72" s="544"/>
      <c r="E72" s="422">
        <v>1</v>
      </c>
      <c r="F72" s="544">
        <f t="shared" si="2"/>
        <v>0</v>
      </c>
      <c r="G72" s="47"/>
    </row>
    <row r="73" spans="1:10" x14ac:dyDescent="0.2">
      <c r="A73" s="281">
        <v>46</v>
      </c>
      <c r="B73" s="295" t="s">
        <v>10</v>
      </c>
      <c r="C73" s="45"/>
      <c r="D73" s="544"/>
      <c r="E73" s="422">
        <v>1</v>
      </c>
      <c r="F73" s="544">
        <f t="shared" si="2"/>
        <v>0</v>
      </c>
      <c r="G73" s="47"/>
    </row>
    <row r="74" spans="1:10" x14ac:dyDescent="0.2">
      <c r="A74" s="281">
        <v>47</v>
      </c>
      <c r="B74" s="295" t="s">
        <v>11</v>
      </c>
      <c r="C74" s="45"/>
      <c r="D74" s="544"/>
      <c r="E74" s="422">
        <v>1</v>
      </c>
      <c r="F74" s="544">
        <f t="shared" si="2"/>
        <v>0</v>
      </c>
      <c r="G74" s="47"/>
    </row>
    <row r="75" spans="1:10" x14ac:dyDescent="0.2">
      <c r="A75" s="281">
        <v>48</v>
      </c>
      <c r="B75" s="295" t="s">
        <v>12</v>
      </c>
      <c r="C75" s="45"/>
      <c r="D75" s="544"/>
      <c r="E75" s="422">
        <v>1</v>
      </c>
      <c r="F75" s="544">
        <f t="shared" si="2"/>
        <v>0</v>
      </c>
      <c r="G75" s="47"/>
    </row>
    <row r="76" spans="1:10" x14ac:dyDescent="0.2">
      <c r="A76" s="281">
        <v>49</v>
      </c>
      <c r="B76" s="295" t="s">
        <v>13</v>
      </c>
      <c r="C76" s="45"/>
      <c r="D76" s="544">
        <v>58</v>
      </c>
      <c r="E76" s="422">
        <v>1</v>
      </c>
      <c r="F76" s="544">
        <f t="shared" si="2"/>
        <v>58</v>
      </c>
      <c r="G76" s="47"/>
      <c r="J76" s="22">
        <v>38.200000000000003</v>
      </c>
    </row>
    <row r="77" spans="1:10" x14ac:dyDescent="0.2">
      <c r="A77" s="281">
        <v>50</v>
      </c>
      <c r="B77" s="295" t="s">
        <v>14</v>
      </c>
      <c r="C77" s="45"/>
      <c r="D77" s="544"/>
      <c r="E77" s="422">
        <v>1</v>
      </c>
      <c r="F77" s="544">
        <f t="shared" si="2"/>
        <v>0</v>
      </c>
      <c r="G77" s="47"/>
    </row>
    <row r="78" spans="1:10" x14ac:dyDescent="0.2">
      <c r="A78" s="281">
        <v>51</v>
      </c>
      <c r="B78" s="295" t="s">
        <v>15</v>
      </c>
      <c r="C78" s="45"/>
      <c r="D78" s="544">
        <v>23</v>
      </c>
      <c r="E78" s="422">
        <v>1</v>
      </c>
      <c r="F78" s="544">
        <f t="shared" si="2"/>
        <v>23</v>
      </c>
      <c r="G78" s="47"/>
      <c r="J78" s="22">
        <v>9.4</v>
      </c>
    </row>
    <row r="79" spans="1:10" x14ac:dyDescent="0.2">
      <c r="A79" s="281">
        <v>52</v>
      </c>
      <c r="B79" s="311" t="s">
        <v>16</v>
      </c>
      <c r="C79" s="45"/>
      <c r="D79" s="544">
        <v>125</v>
      </c>
      <c r="E79" s="422">
        <v>1</v>
      </c>
      <c r="F79" s="544">
        <f t="shared" si="2"/>
        <v>125</v>
      </c>
      <c r="G79" s="47"/>
      <c r="J79" s="22">
        <v>113.4</v>
      </c>
    </row>
    <row r="80" spans="1:10" x14ac:dyDescent="0.2">
      <c r="A80" s="281">
        <v>53</v>
      </c>
      <c r="B80" s="311" t="s">
        <v>17</v>
      </c>
      <c r="C80" s="45"/>
      <c r="D80" s="544"/>
      <c r="E80" s="422">
        <v>1</v>
      </c>
      <c r="F80" s="544">
        <f t="shared" si="2"/>
        <v>0</v>
      </c>
      <c r="G80" s="47"/>
    </row>
    <row r="81" spans="1:7" x14ac:dyDescent="0.2">
      <c r="A81" s="281">
        <v>54</v>
      </c>
      <c r="B81" s="295" t="s">
        <v>18</v>
      </c>
      <c r="C81" s="45"/>
      <c r="D81" s="544"/>
      <c r="E81" s="422">
        <v>1</v>
      </c>
      <c r="F81" s="544">
        <f t="shared" ref="F81:F146" si="3">D81*E81</f>
        <v>0</v>
      </c>
      <c r="G81" s="47"/>
    </row>
    <row r="82" spans="1:7" x14ac:dyDescent="0.2">
      <c r="A82" s="281"/>
      <c r="B82" s="288"/>
      <c r="C82" s="293"/>
      <c r="D82" s="544"/>
      <c r="E82" s="422"/>
      <c r="F82" s="544"/>
      <c r="G82" s="47"/>
    </row>
    <row r="83" spans="1:7" x14ac:dyDescent="0.2">
      <c r="A83" s="302" t="s">
        <v>19</v>
      </c>
      <c r="B83" s="295"/>
      <c r="C83" s="282"/>
      <c r="D83" s="544"/>
      <c r="E83" s="422"/>
      <c r="F83" s="544"/>
      <c r="G83" s="47"/>
    </row>
    <row r="84" spans="1:7" x14ac:dyDescent="0.2">
      <c r="A84" s="281">
        <v>55</v>
      </c>
      <c r="B84" s="288" t="s">
        <v>451</v>
      </c>
      <c r="C84" s="45"/>
      <c r="D84" s="553">
        <v>0.6</v>
      </c>
      <c r="E84" s="422">
        <v>0.65839999999999999</v>
      </c>
      <c r="F84" s="544">
        <f t="shared" si="3"/>
        <v>0.39504</v>
      </c>
      <c r="G84" s="47" t="s">
        <v>215</v>
      </c>
    </row>
    <row r="85" spans="1:7" x14ac:dyDescent="0.2">
      <c r="A85" s="281">
        <v>56</v>
      </c>
      <c r="B85" s="295" t="s">
        <v>467</v>
      </c>
      <c r="C85" s="45"/>
      <c r="D85" s="544"/>
      <c r="E85" s="422">
        <v>0.6</v>
      </c>
      <c r="F85" s="544">
        <f t="shared" ref="F85:F86" si="4">D85*E85</f>
        <v>0</v>
      </c>
      <c r="G85" s="47" t="s">
        <v>215</v>
      </c>
    </row>
    <row r="86" spans="1:7" x14ac:dyDescent="0.2">
      <c r="A86" s="281">
        <v>57</v>
      </c>
      <c r="B86" s="295" t="s">
        <v>27</v>
      </c>
      <c r="C86" s="45"/>
      <c r="D86" s="544"/>
      <c r="E86" s="422">
        <v>1</v>
      </c>
      <c r="F86" s="544">
        <f t="shared" si="4"/>
        <v>0</v>
      </c>
      <c r="G86" s="47"/>
    </row>
    <row r="87" spans="1:7" x14ac:dyDescent="0.2">
      <c r="A87" s="281">
        <v>58</v>
      </c>
      <c r="B87" s="295" t="s">
        <v>452</v>
      </c>
      <c r="C87" s="45"/>
      <c r="D87" s="544">
        <v>7.4</v>
      </c>
      <c r="E87" s="422">
        <v>1</v>
      </c>
      <c r="F87" s="544">
        <f t="shared" si="3"/>
        <v>7.4</v>
      </c>
      <c r="G87" s="47"/>
    </row>
    <row r="88" spans="1:7" x14ac:dyDescent="0.2">
      <c r="A88" s="281">
        <v>59</v>
      </c>
      <c r="B88" s="288" t="s">
        <v>453</v>
      </c>
      <c r="C88" s="45"/>
      <c r="D88" s="544"/>
      <c r="E88" s="422">
        <v>1</v>
      </c>
      <c r="F88" s="544">
        <f t="shared" si="3"/>
        <v>0</v>
      </c>
      <c r="G88" s="47"/>
    </row>
    <row r="89" spans="1:7" x14ac:dyDescent="0.2">
      <c r="A89" s="281">
        <v>60</v>
      </c>
      <c r="B89" s="288" t="s">
        <v>454</v>
      </c>
      <c r="C89" s="45"/>
      <c r="D89" s="544">
        <v>76</v>
      </c>
      <c r="E89" s="422">
        <v>1</v>
      </c>
      <c r="F89" s="544">
        <f t="shared" si="3"/>
        <v>76</v>
      </c>
      <c r="G89" s="47"/>
    </row>
    <row r="90" spans="1:7" x14ac:dyDescent="0.2">
      <c r="A90" s="281">
        <v>61</v>
      </c>
      <c r="B90" s="288" t="s">
        <v>455</v>
      </c>
      <c r="C90" s="45"/>
      <c r="D90" s="553"/>
      <c r="E90" s="422">
        <v>1</v>
      </c>
      <c r="F90" s="544">
        <f t="shared" si="3"/>
        <v>0</v>
      </c>
      <c r="G90" s="47"/>
    </row>
    <row r="91" spans="1:7" x14ac:dyDescent="0.2">
      <c r="A91" s="281">
        <v>62</v>
      </c>
      <c r="B91" s="295" t="s">
        <v>456</v>
      </c>
      <c r="C91" s="45"/>
      <c r="D91" s="553"/>
      <c r="E91" s="422">
        <v>1</v>
      </c>
      <c r="F91" s="544">
        <f t="shared" si="3"/>
        <v>0</v>
      </c>
      <c r="G91" s="47"/>
    </row>
    <row r="92" spans="1:7" x14ac:dyDescent="0.2">
      <c r="A92" s="281">
        <v>63</v>
      </c>
      <c r="B92" s="295" t="s">
        <v>457</v>
      </c>
      <c r="C92" s="45"/>
      <c r="D92" s="544"/>
      <c r="E92" s="422">
        <v>1</v>
      </c>
      <c r="F92" s="544">
        <f t="shared" si="3"/>
        <v>0</v>
      </c>
      <c r="G92" s="47"/>
    </row>
    <row r="93" spans="1:7" x14ac:dyDescent="0.2">
      <c r="A93" s="281">
        <v>64</v>
      </c>
      <c r="B93" s="295" t="s">
        <v>458</v>
      </c>
      <c r="C93" s="45"/>
      <c r="D93" s="553"/>
      <c r="E93" s="422">
        <v>1</v>
      </c>
      <c r="F93" s="544">
        <f t="shared" si="3"/>
        <v>0</v>
      </c>
      <c r="G93" s="47"/>
    </row>
    <row r="94" spans="1:7" x14ac:dyDescent="0.2">
      <c r="A94" s="281">
        <v>65</v>
      </c>
      <c r="B94" s="295" t="s">
        <v>632</v>
      </c>
      <c r="C94" s="45"/>
      <c r="D94" s="544">
        <v>78.400000000000006</v>
      </c>
      <c r="E94" s="422">
        <v>1</v>
      </c>
      <c r="F94" s="544">
        <f t="shared" si="3"/>
        <v>78.400000000000006</v>
      </c>
      <c r="G94" s="47"/>
    </row>
    <row r="95" spans="1:7" x14ac:dyDescent="0.2">
      <c r="A95" s="281">
        <v>66</v>
      </c>
      <c r="B95" s="295" t="s">
        <v>20</v>
      </c>
      <c r="C95" s="45"/>
      <c r="D95" s="544">
        <v>60.7</v>
      </c>
      <c r="E95" s="422">
        <v>1</v>
      </c>
      <c r="F95" s="544">
        <f t="shared" si="3"/>
        <v>60.7</v>
      </c>
      <c r="G95" s="47"/>
    </row>
    <row r="96" spans="1:7" x14ac:dyDescent="0.2">
      <c r="A96" s="281">
        <v>67</v>
      </c>
      <c r="B96" s="295" t="s">
        <v>460</v>
      </c>
      <c r="C96" s="45"/>
      <c r="D96" s="553">
        <v>41.8</v>
      </c>
      <c r="E96" s="422">
        <v>1</v>
      </c>
      <c r="F96" s="544">
        <f t="shared" si="3"/>
        <v>41.8</v>
      </c>
      <c r="G96" s="47"/>
    </row>
    <row r="97" spans="1:7" x14ac:dyDescent="0.2">
      <c r="A97" s="281">
        <v>68</v>
      </c>
      <c r="B97" s="291" t="s">
        <v>461</v>
      </c>
      <c r="C97" s="45"/>
      <c r="D97" s="544"/>
      <c r="E97" s="422">
        <v>1</v>
      </c>
      <c r="F97" s="544">
        <f t="shared" si="3"/>
        <v>0</v>
      </c>
      <c r="G97" s="47"/>
    </row>
    <row r="98" spans="1:7" x14ac:dyDescent="0.2">
      <c r="A98" s="281">
        <v>69</v>
      </c>
      <c r="B98" s="295" t="s">
        <v>577</v>
      </c>
      <c r="C98" s="45"/>
      <c r="D98" s="553"/>
      <c r="E98" s="422">
        <v>1</v>
      </c>
      <c r="F98" s="544">
        <f t="shared" si="3"/>
        <v>0</v>
      </c>
      <c r="G98" s="47"/>
    </row>
    <row r="99" spans="1:7" x14ac:dyDescent="0.2">
      <c r="A99" s="281">
        <v>70</v>
      </c>
      <c r="B99" s="295" t="s">
        <v>462</v>
      </c>
      <c r="C99" s="45"/>
      <c r="D99" s="544">
        <v>270.8</v>
      </c>
      <c r="E99" s="422">
        <v>1</v>
      </c>
      <c r="F99" s="544">
        <f t="shared" si="3"/>
        <v>270.8</v>
      </c>
      <c r="G99" s="47"/>
    </row>
    <row r="100" spans="1:7" x14ac:dyDescent="0.2">
      <c r="A100" s="281">
        <v>71</v>
      </c>
      <c r="B100" s="295" t="s">
        <v>463</v>
      </c>
      <c r="C100" s="45"/>
      <c r="D100" s="544"/>
      <c r="E100" s="422">
        <v>1</v>
      </c>
      <c r="F100" s="544">
        <f t="shared" si="3"/>
        <v>0</v>
      </c>
      <c r="G100" s="47"/>
    </row>
    <row r="101" spans="1:7" x14ac:dyDescent="0.2">
      <c r="A101" s="281">
        <v>72</v>
      </c>
      <c r="B101" s="295" t="s">
        <v>464</v>
      </c>
      <c r="C101" s="45"/>
      <c r="D101" s="553"/>
      <c r="E101" s="422">
        <v>1</v>
      </c>
      <c r="F101" s="544">
        <f t="shared" si="3"/>
        <v>0</v>
      </c>
      <c r="G101" s="47"/>
    </row>
    <row r="102" spans="1:7" x14ac:dyDescent="0.2">
      <c r="A102" s="281">
        <v>73</v>
      </c>
      <c r="B102" s="295" t="s">
        <v>465</v>
      </c>
      <c r="C102" s="45"/>
      <c r="D102" s="544"/>
      <c r="E102" s="422">
        <v>1</v>
      </c>
      <c r="F102" s="544">
        <f t="shared" si="3"/>
        <v>0</v>
      </c>
      <c r="G102" s="47"/>
    </row>
    <row r="103" spans="1:7" x14ac:dyDescent="0.2">
      <c r="A103" s="281">
        <v>74</v>
      </c>
      <c r="B103" s="295" t="s">
        <v>466</v>
      </c>
      <c r="C103" s="45"/>
      <c r="D103" s="553">
        <v>231.4</v>
      </c>
      <c r="E103" s="422">
        <v>1</v>
      </c>
      <c r="F103" s="544">
        <f t="shared" si="3"/>
        <v>231.4</v>
      </c>
      <c r="G103" s="47"/>
    </row>
    <row r="104" spans="1:7" x14ac:dyDescent="0.2">
      <c r="A104" s="281">
        <v>75</v>
      </c>
      <c r="B104" s="295" t="s">
        <v>468</v>
      </c>
      <c r="C104" s="45"/>
      <c r="D104" s="553"/>
      <c r="E104" s="422">
        <v>1</v>
      </c>
      <c r="F104" s="544">
        <f t="shared" si="3"/>
        <v>0</v>
      </c>
      <c r="G104" s="47"/>
    </row>
    <row r="105" spans="1:7" x14ac:dyDescent="0.2">
      <c r="A105" s="281">
        <v>76</v>
      </c>
      <c r="B105" s="295" t="s">
        <v>469</v>
      </c>
      <c r="C105" s="45"/>
      <c r="D105" s="544"/>
      <c r="E105" s="422">
        <v>1</v>
      </c>
      <c r="F105" s="544">
        <f t="shared" si="3"/>
        <v>0</v>
      </c>
      <c r="G105" s="47"/>
    </row>
    <row r="106" spans="1:7" x14ac:dyDescent="0.2">
      <c r="A106" s="281">
        <v>77</v>
      </c>
      <c r="B106" s="295" t="s">
        <v>21</v>
      </c>
      <c r="C106" s="45"/>
      <c r="D106" s="553"/>
      <c r="E106" s="422">
        <v>1</v>
      </c>
      <c r="F106" s="544">
        <f t="shared" si="3"/>
        <v>0</v>
      </c>
      <c r="G106" s="47"/>
    </row>
    <row r="107" spans="1:7" x14ac:dyDescent="0.2">
      <c r="A107" s="281">
        <v>78</v>
      </c>
      <c r="B107" s="295" t="s">
        <v>22</v>
      </c>
      <c r="C107" s="45"/>
      <c r="D107" s="544"/>
      <c r="E107" s="422">
        <v>1</v>
      </c>
      <c r="F107" s="544">
        <f t="shared" si="3"/>
        <v>0</v>
      </c>
      <c r="G107" s="47"/>
    </row>
    <row r="108" spans="1:7" x14ac:dyDescent="0.2">
      <c r="A108" s="281">
        <v>79</v>
      </c>
      <c r="B108" s="295" t="s">
        <v>470</v>
      </c>
      <c r="C108" s="45"/>
      <c r="D108" s="553"/>
      <c r="E108" s="422">
        <v>1</v>
      </c>
      <c r="F108" s="544">
        <f t="shared" si="3"/>
        <v>0</v>
      </c>
      <c r="G108" s="47"/>
    </row>
    <row r="109" spans="1:7" x14ac:dyDescent="0.2">
      <c r="A109" s="281">
        <v>80</v>
      </c>
      <c r="B109" s="295" t="s">
        <v>471</v>
      </c>
      <c r="C109" s="45"/>
      <c r="D109" s="544"/>
      <c r="E109" s="422">
        <v>1</v>
      </c>
      <c r="F109" s="544">
        <f t="shared" si="3"/>
        <v>0</v>
      </c>
      <c r="G109" s="47"/>
    </row>
    <row r="110" spans="1:7" x14ac:dyDescent="0.2">
      <c r="A110" s="281">
        <v>81</v>
      </c>
      <c r="B110" s="295" t="s">
        <v>472</v>
      </c>
      <c r="C110" s="45"/>
      <c r="D110" s="544"/>
      <c r="E110" s="422">
        <v>1</v>
      </c>
      <c r="F110" s="544">
        <f t="shared" si="3"/>
        <v>0</v>
      </c>
      <c r="G110" s="47"/>
    </row>
    <row r="111" spans="1:7" x14ac:dyDescent="0.2">
      <c r="A111" s="281">
        <v>82</v>
      </c>
      <c r="B111" s="295" t="s">
        <v>473</v>
      </c>
      <c r="C111" s="45"/>
      <c r="D111" s="544"/>
      <c r="E111" s="422">
        <v>1</v>
      </c>
      <c r="F111" s="544">
        <f t="shared" si="3"/>
        <v>0</v>
      </c>
      <c r="G111" s="47"/>
    </row>
    <row r="112" spans="1:7" x14ac:dyDescent="0.2">
      <c r="A112" s="281">
        <v>83</v>
      </c>
      <c r="B112" s="295" t="s">
        <v>23</v>
      </c>
      <c r="C112" s="45"/>
      <c r="D112" s="544"/>
      <c r="E112" s="422">
        <v>1</v>
      </c>
      <c r="F112" s="544">
        <f t="shared" si="3"/>
        <v>0</v>
      </c>
      <c r="G112" s="47"/>
    </row>
    <row r="113" spans="1:13" x14ac:dyDescent="0.2">
      <c r="A113" s="281">
        <v>84</v>
      </c>
      <c r="B113" s="295" t="s">
        <v>24</v>
      </c>
      <c r="C113" s="45"/>
      <c r="D113" s="544"/>
      <c r="E113" s="422">
        <v>1</v>
      </c>
      <c r="F113" s="544">
        <f t="shared" si="3"/>
        <v>0</v>
      </c>
      <c r="G113" s="47"/>
    </row>
    <row r="114" spans="1:13" x14ac:dyDescent="0.2">
      <c r="A114" s="281">
        <v>85</v>
      </c>
      <c r="B114" s="295" t="s">
        <v>25</v>
      </c>
      <c r="C114" s="45"/>
      <c r="D114" s="544"/>
      <c r="E114" s="422">
        <v>1</v>
      </c>
      <c r="F114" s="544">
        <f t="shared" si="3"/>
        <v>0</v>
      </c>
      <c r="G114" s="47"/>
    </row>
    <row r="115" spans="1:13" x14ac:dyDescent="0.2">
      <c r="A115" s="281">
        <v>86</v>
      </c>
      <c r="B115" s="295" t="s">
        <v>26</v>
      </c>
      <c r="C115" s="45"/>
      <c r="D115" s="544"/>
      <c r="E115" s="422">
        <v>1</v>
      </c>
      <c r="F115" s="544">
        <f t="shared" si="3"/>
        <v>0</v>
      </c>
      <c r="G115" s="47"/>
    </row>
    <row r="116" spans="1:13" x14ac:dyDescent="0.2">
      <c r="A116" s="281">
        <v>87</v>
      </c>
      <c r="B116" s="288" t="s">
        <v>173</v>
      </c>
      <c r="C116" s="45"/>
      <c r="D116" s="544"/>
      <c r="E116" s="422">
        <v>1</v>
      </c>
      <c r="F116" s="544">
        <f t="shared" si="3"/>
        <v>0</v>
      </c>
      <c r="G116" s="47"/>
    </row>
    <row r="117" spans="1:13" x14ac:dyDescent="0.2">
      <c r="A117" s="281"/>
      <c r="B117" s="288"/>
      <c r="C117" s="282"/>
      <c r="D117" s="544"/>
      <c r="E117" s="422"/>
      <c r="F117" s="544"/>
      <c r="G117" s="47"/>
    </row>
    <row r="118" spans="1:13" x14ac:dyDescent="0.2">
      <c r="A118" s="302" t="s">
        <v>116</v>
      </c>
      <c r="B118" s="295"/>
      <c r="C118" s="282"/>
      <c r="D118" s="544"/>
      <c r="E118" s="422"/>
      <c r="F118" s="544"/>
      <c r="G118" s="47"/>
    </row>
    <row r="119" spans="1:13" x14ac:dyDescent="0.2">
      <c r="A119" s="303">
        <v>88</v>
      </c>
      <c r="B119" s="288" t="s">
        <v>474</v>
      </c>
      <c r="C119" s="45"/>
      <c r="D119" s="544"/>
      <c r="E119" s="422"/>
      <c r="F119" s="544">
        <f>F120+F121</f>
        <v>1282.0047144740035</v>
      </c>
      <c r="G119" s="47"/>
      <c r="J119" s="274" t="s">
        <v>385</v>
      </c>
      <c r="K119" s="275" t="s">
        <v>386</v>
      </c>
      <c r="L119" s="276" t="s">
        <v>46</v>
      </c>
      <c r="M119" s="276" t="s">
        <v>387</v>
      </c>
    </row>
    <row r="120" spans="1:13" x14ac:dyDescent="0.2">
      <c r="A120" s="303"/>
      <c r="B120" s="22"/>
      <c r="C120" s="282" t="s">
        <v>622</v>
      </c>
      <c r="D120" s="544">
        <v>1814.0720453856002</v>
      </c>
      <c r="E120" s="422">
        <v>0.70669999999999999</v>
      </c>
      <c r="F120" s="544">
        <f t="shared" si="3"/>
        <v>1282.0047144740035</v>
      </c>
      <c r="G120" s="47" t="s">
        <v>376</v>
      </c>
      <c r="J120" s="277" t="s">
        <v>622</v>
      </c>
      <c r="K120" s="278"/>
      <c r="L120" s="279">
        <v>0.70669999999999999</v>
      </c>
      <c r="M120" s="280">
        <f>K120/L120</f>
        <v>0</v>
      </c>
    </row>
    <row r="121" spans="1:13" x14ac:dyDescent="0.2">
      <c r="A121" s="303"/>
      <c r="B121" s="22"/>
      <c r="C121" s="282" t="s">
        <v>623</v>
      </c>
      <c r="D121" s="544"/>
      <c r="E121" s="422">
        <v>0.74409999999999998</v>
      </c>
      <c r="F121" s="544">
        <f t="shared" si="3"/>
        <v>0</v>
      </c>
      <c r="G121" s="47" t="s">
        <v>376</v>
      </c>
      <c r="J121" s="277" t="s">
        <v>623</v>
      </c>
      <c r="K121" s="278"/>
      <c r="L121" s="279">
        <v>0.74409999999999998</v>
      </c>
      <c r="M121" s="280">
        <f>K121/L121</f>
        <v>0</v>
      </c>
    </row>
    <row r="122" spans="1:13" x14ac:dyDescent="0.2">
      <c r="A122" s="303">
        <v>89</v>
      </c>
      <c r="B122" s="288" t="s">
        <v>475</v>
      </c>
      <c r="C122" s="45"/>
      <c r="D122" s="544">
        <v>192.29907048039999</v>
      </c>
      <c r="E122" s="422">
        <v>0.72130000000000005</v>
      </c>
      <c r="F122" s="544">
        <f t="shared" si="3"/>
        <v>138.70531953751254</v>
      </c>
      <c r="G122" s="47" t="s">
        <v>376</v>
      </c>
      <c r="J122" s="277" t="s">
        <v>118</v>
      </c>
      <c r="K122" s="278"/>
      <c r="L122" s="279">
        <v>0.70299999999999996</v>
      </c>
      <c r="M122" s="280">
        <f t="shared" ref="M122:M126" si="5">K122/L122</f>
        <v>0</v>
      </c>
    </row>
    <row r="123" spans="1:13" x14ac:dyDescent="0.2">
      <c r="A123" s="303">
        <v>90</v>
      </c>
      <c r="B123" s="288" t="s">
        <v>476</v>
      </c>
      <c r="C123" s="45"/>
      <c r="D123" s="544">
        <v>64.02222026199999</v>
      </c>
      <c r="E123" s="422">
        <v>0.67830000000000001</v>
      </c>
      <c r="F123" s="544">
        <f t="shared" si="3"/>
        <v>43.426272003714594</v>
      </c>
      <c r="G123" s="47" t="s">
        <v>376</v>
      </c>
      <c r="J123" s="277" t="s">
        <v>119</v>
      </c>
      <c r="K123" s="278"/>
      <c r="L123" s="279">
        <v>0.67830000000000001</v>
      </c>
      <c r="M123" s="280">
        <f>K123/L123</f>
        <v>0</v>
      </c>
    </row>
    <row r="124" spans="1:13" x14ac:dyDescent="0.2">
      <c r="A124" s="303">
        <v>91</v>
      </c>
      <c r="B124" s="288" t="s">
        <v>477</v>
      </c>
      <c r="C124" s="45"/>
      <c r="D124" s="544"/>
      <c r="E124" s="422">
        <v>0.72319999999999995</v>
      </c>
      <c r="F124" s="544">
        <f t="shared" si="3"/>
        <v>0</v>
      </c>
      <c r="G124" s="47" t="s">
        <v>376</v>
      </c>
      <c r="J124" s="277" t="s">
        <v>120</v>
      </c>
      <c r="K124" s="278"/>
      <c r="L124" s="279">
        <v>0.72319999999999995</v>
      </c>
      <c r="M124" s="280">
        <f t="shared" si="5"/>
        <v>0</v>
      </c>
    </row>
    <row r="125" spans="1:13" x14ac:dyDescent="0.2">
      <c r="A125" s="303">
        <v>92</v>
      </c>
      <c r="B125" s="288" t="s">
        <v>478</v>
      </c>
      <c r="C125" s="45"/>
      <c r="D125" s="544"/>
      <c r="E125" s="422">
        <v>0.7228</v>
      </c>
      <c r="F125" s="544">
        <f t="shared" si="3"/>
        <v>0</v>
      </c>
      <c r="G125" s="47" t="s">
        <v>376</v>
      </c>
      <c r="J125" s="277" t="s">
        <v>121</v>
      </c>
      <c r="K125" s="278"/>
      <c r="L125" s="279">
        <v>0.7228</v>
      </c>
      <c r="M125" s="280">
        <f t="shared" si="5"/>
        <v>0</v>
      </c>
    </row>
    <row r="126" spans="1:13" x14ac:dyDescent="0.2">
      <c r="A126" s="303">
        <v>93</v>
      </c>
      <c r="B126" s="288" t="s">
        <v>479</v>
      </c>
      <c r="C126" s="45"/>
      <c r="D126" s="544"/>
      <c r="E126" s="422">
        <v>0.67469999999999997</v>
      </c>
      <c r="F126" s="544">
        <f t="shared" si="3"/>
        <v>0</v>
      </c>
      <c r="G126" s="47" t="s">
        <v>376</v>
      </c>
      <c r="J126" s="277" t="s">
        <v>122</v>
      </c>
      <c r="K126" s="278"/>
      <c r="L126" s="279">
        <v>0.67469999999999997</v>
      </c>
      <c r="M126" s="280">
        <f t="shared" si="5"/>
        <v>0</v>
      </c>
    </row>
    <row r="127" spans="1:13" x14ac:dyDescent="0.2">
      <c r="A127" s="303">
        <v>94</v>
      </c>
      <c r="B127" s="288" t="s">
        <v>480</v>
      </c>
      <c r="C127" s="45"/>
      <c r="D127" s="544">
        <v>218.5047229722</v>
      </c>
      <c r="E127" s="422">
        <v>1</v>
      </c>
      <c r="F127" s="544">
        <f t="shared" si="3"/>
        <v>218.5047229722</v>
      </c>
      <c r="G127" s="47" t="s">
        <v>435</v>
      </c>
    </row>
    <row r="128" spans="1:13" x14ac:dyDescent="0.2">
      <c r="A128" s="303">
        <v>95</v>
      </c>
      <c r="B128" s="288" t="s">
        <v>599</v>
      </c>
      <c r="C128" s="45"/>
      <c r="D128" s="544">
        <f>4448.2364758545+52.39</f>
        <v>4500.6264758545003</v>
      </c>
      <c r="E128" s="422">
        <v>1</v>
      </c>
      <c r="F128" s="544">
        <f t="shared" si="3"/>
        <v>4500.6264758545003</v>
      </c>
      <c r="G128" s="47" t="s">
        <v>435</v>
      </c>
      <c r="J128" s="21"/>
      <c r="K128" s="312"/>
      <c r="L128" s="259"/>
      <c r="M128" s="313"/>
    </row>
    <row r="129" spans="1:13" x14ac:dyDescent="0.2">
      <c r="A129" s="303">
        <v>96</v>
      </c>
      <c r="B129" s="288" t="s">
        <v>481</v>
      </c>
      <c r="C129" s="45"/>
      <c r="D129" s="544">
        <v>10.16115008265</v>
      </c>
      <c r="E129" s="422">
        <v>1</v>
      </c>
      <c r="F129" s="544">
        <f t="shared" si="3"/>
        <v>10.16115008265</v>
      </c>
      <c r="G129" s="47" t="s">
        <v>435</v>
      </c>
      <c r="J129" s="21"/>
      <c r="K129" s="312"/>
      <c r="L129" s="259"/>
      <c r="M129" s="313"/>
    </row>
    <row r="130" spans="1:13" x14ac:dyDescent="0.2">
      <c r="A130" s="303">
        <v>97</v>
      </c>
      <c r="B130" s="288" t="s">
        <v>482</v>
      </c>
      <c r="C130" s="45"/>
      <c r="D130" s="544">
        <v>6.8619012000000001</v>
      </c>
      <c r="E130" s="422">
        <v>1</v>
      </c>
      <c r="F130" s="544">
        <f t="shared" si="3"/>
        <v>6.8619012000000001</v>
      </c>
      <c r="G130" s="47" t="s">
        <v>435</v>
      </c>
      <c r="J130" s="21"/>
      <c r="K130" s="312"/>
      <c r="L130" s="259"/>
      <c r="M130" s="313"/>
    </row>
    <row r="131" spans="1:13" x14ac:dyDescent="0.2">
      <c r="A131" s="303">
        <v>98</v>
      </c>
      <c r="B131" s="288" t="s">
        <v>483</v>
      </c>
      <c r="C131" s="45"/>
      <c r="D131" s="581">
        <f>(D120*17.91%)+(D122*18.2%)+(D123*17.49%)+(D124*13.47%)+(D125*16.29%)+(D126*15.44%)+(D127*10%)+(D128*10%)+(D129*10%)+(D130*10%)+(D121*15.44%)</f>
        <v>844.71164549075263</v>
      </c>
      <c r="E131" s="422">
        <v>1</v>
      </c>
      <c r="F131" s="544">
        <f t="shared" si="3"/>
        <v>844.71164549075263</v>
      </c>
      <c r="G131" s="47" t="s">
        <v>377</v>
      </c>
      <c r="J131" s="21"/>
      <c r="K131" s="312"/>
      <c r="L131" s="259"/>
      <c r="M131" s="313"/>
    </row>
    <row r="132" spans="1:13" x14ac:dyDescent="0.2">
      <c r="A132" s="304"/>
      <c r="B132" s="325"/>
      <c r="C132" s="282"/>
      <c r="D132" s="544"/>
      <c r="E132" s="422"/>
      <c r="F132" s="544"/>
      <c r="G132" s="47"/>
      <c r="L132" s="259"/>
    </row>
    <row r="133" spans="1:13" x14ac:dyDescent="0.2">
      <c r="A133" s="301" t="s">
        <v>128</v>
      </c>
      <c r="B133" s="288"/>
      <c r="C133" s="282"/>
      <c r="D133" s="544"/>
      <c r="E133" s="422"/>
      <c r="F133" s="544"/>
      <c r="G133" s="47"/>
    </row>
    <row r="134" spans="1:13" x14ac:dyDescent="0.2">
      <c r="A134" s="281">
        <v>99</v>
      </c>
      <c r="B134" s="291" t="s">
        <v>484</v>
      </c>
      <c r="C134" s="45"/>
      <c r="D134" s="544">
        <v>131.24472141375</v>
      </c>
      <c r="E134" s="422">
        <v>1</v>
      </c>
      <c r="F134" s="544">
        <f t="shared" si="3"/>
        <v>131.24472141375</v>
      </c>
      <c r="G134" s="47"/>
    </row>
    <row r="135" spans="1:13" x14ac:dyDescent="0.2">
      <c r="A135" s="281">
        <v>100</v>
      </c>
      <c r="B135" s="291" t="s">
        <v>485</v>
      </c>
      <c r="C135" s="45"/>
      <c r="D135" s="544">
        <v>538.91259985080001</v>
      </c>
      <c r="E135" s="422">
        <v>1</v>
      </c>
      <c r="F135" s="544">
        <f t="shared" si="3"/>
        <v>538.91259985080001</v>
      </c>
      <c r="G135" s="47"/>
    </row>
    <row r="136" spans="1:13" x14ac:dyDescent="0.2">
      <c r="A136" s="281">
        <v>101</v>
      </c>
      <c r="B136" s="291" t="s">
        <v>486</v>
      </c>
      <c r="C136" s="45"/>
      <c r="D136" s="544">
        <v>103.45018958295</v>
      </c>
      <c r="E136" s="422">
        <v>1</v>
      </c>
      <c r="F136" s="544">
        <f t="shared" si="3"/>
        <v>103.45018958295</v>
      </c>
      <c r="G136" s="47"/>
    </row>
    <row r="137" spans="1:13" x14ac:dyDescent="0.2">
      <c r="A137" s="281">
        <v>102</v>
      </c>
      <c r="B137" s="291" t="s">
        <v>487</v>
      </c>
      <c r="C137" s="45"/>
      <c r="D137" s="544">
        <v>54.084257639999997</v>
      </c>
      <c r="E137" s="422">
        <v>1</v>
      </c>
      <c r="F137" s="544">
        <f t="shared" si="3"/>
        <v>54.084257639999997</v>
      </c>
      <c r="G137" s="47"/>
    </row>
    <row r="138" spans="1:13" x14ac:dyDescent="0.2">
      <c r="A138" s="281"/>
      <c r="B138" s="288"/>
      <c r="C138" s="282"/>
      <c r="D138" s="544"/>
      <c r="E138" s="422"/>
      <c r="F138" s="544"/>
      <c r="G138" s="47"/>
    </row>
    <row r="139" spans="1:13" x14ac:dyDescent="0.2">
      <c r="A139" s="301" t="s">
        <v>132</v>
      </c>
      <c r="B139" s="288"/>
      <c r="C139" s="282"/>
      <c r="D139" s="544"/>
      <c r="E139" s="422"/>
      <c r="F139" s="544"/>
      <c r="G139" s="47"/>
    </row>
    <row r="140" spans="1:13" x14ac:dyDescent="0.2">
      <c r="A140" s="281">
        <v>103</v>
      </c>
      <c r="B140" s="288" t="s">
        <v>488</v>
      </c>
      <c r="C140" s="45"/>
      <c r="D140" s="544"/>
      <c r="E140" s="422">
        <v>1</v>
      </c>
      <c r="F140" s="544">
        <f>D140*E140</f>
        <v>0</v>
      </c>
      <c r="G140" s="47"/>
    </row>
    <row r="141" spans="1:13" x14ac:dyDescent="0.2">
      <c r="A141" s="281">
        <v>104</v>
      </c>
      <c r="B141" s="288" t="s">
        <v>489</v>
      </c>
      <c r="C141" s="45"/>
      <c r="D141" s="544"/>
      <c r="E141" s="422">
        <v>1</v>
      </c>
      <c r="F141" s="544">
        <f>D141*E141</f>
        <v>0</v>
      </c>
      <c r="G141" s="47"/>
    </row>
    <row r="142" spans="1:13" x14ac:dyDescent="0.2">
      <c r="A142" s="281"/>
      <c r="B142" s="288"/>
      <c r="C142" s="282"/>
      <c r="D142" s="544"/>
      <c r="E142" s="422"/>
      <c r="F142" s="544"/>
      <c r="G142" s="47"/>
    </row>
    <row r="143" spans="1:13" x14ac:dyDescent="0.2">
      <c r="A143" s="301" t="s">
        <v>135</v>
      </c>
      <c r="B143" s="288"/>
      <c r="C143" s="282"/>
      <c r="D143" s="544"/>
      <c r="E143" s="422"/>
      <c r="F143" s="544"/>
      <c r="G143" s="47"/>
    </row>
    <row r="144" spans="1:13" x14ac:dyDescent="0.2">
      <c r="A144" s="281">
        <v>105</v>
      </c>
      <c r="B144" s="288" t="s">
        <v>490</v>
      </c>
      <c r="C144" s="45"/>
      <c r="D144" s="544"/>
      <c r="E144" s="422">
        <v>1</v>
      </c>
      <c r="F144" s="544">
        <f>D144*E144</f>
        <v>0</v>
      </c>
      <c r="G144" s="47"/>
    </row>
    <row r="145" spans="1:7" x14ac:dyDescent="0.2">
      <c r="A145" s="281">
        <v>106</v>
      </c>
      <c r="B145" s="288" t="s">
        <v>491</v>
      </c>
      <c r="C145" s="45"/>
      <c r="D145" s="544"/>
      <c r="E145" s="422">
        <v>1</v>
      </c>
      <c r="F145" s="544">
        <f t="shared" si="3"/>
        <v>0</v>
      </c>
      <c r="G145" s="47"/>
    </row>
    <row r="146" spans="1:7" x14ac:dyDescent="0.2">
      <c r="A146" s="281">
        <v>107</v>
      </c>
      <c r="B146" s="288" t="s">
        <v>492</v>
      </c>
      <c r="C146" s="45"/>
      <c r="D146" s="544"/>
      <c r="E146" s="422">
        <v>1</v>
      </c>
      <c r="F146" s="544">
        <f t="shared" si="3"/>
        <v>0</v>
      </c>
      <c r="G146" s="47"/>
    </row>
    <row r="147" spans="1:7" x14ac:dyDescent="0.2">
      <c r="A147" s="281">
        <v>108</v>
      </c>
      <c r="B147" s="288" t="s">
        <v>493</v>
      </c>
      <c r="C147" s="45"/>
      <c r="D147" s="544"/>
      <c r="E147" s="422">
        <v>1</v>
      </c>
      <c r="F147" s="544">
        <f t="shared" ref="F147:F193" si="6">D147*E147</f>
        <v>0</v>
      </c>
      <c r="G147" s="47"/>
    </row>
    <row r="148" spans="1:7" x14ac:dyDescent="0.2">
      <c r="A148" s="281">
        <v>109</v>
      </c>
      <c r="B148" s="288" t="s">
        <v>494</v>
      </c>
      <c r="C148" s="45"/>
      <c r="D148" s="544"/>
      <c r="E148" s="422">
        <v>1</v>
      </c>
      <c r="F148" s="544">
        <f t="shared" si="6"/>
        <v>0</v>
      </c>
      <c r="G148" s="47"/>
    </row>
    <row r="149" spans="1:7" x14ac:dyDescent="0.2">
      <c r="A149" s="281">
        <v>110</v>
      </c>
      <c r="B149" s="288" t="s">
        <v>495</v>
      </c>
      <c r="C149" s="45"/>
      <c r="D149" s="544"/>
      <c r="E149" s="422">
        <v>1</v>
      </c>
      <c r="F149" s="544">
        <f t="shared" si="6"/>
        <v>0</v>
      </c>
      <c r="G149" s="47"/>
    </row>
    <row r="150" spans="1:7" x14ac:dyDescent="0.2">
      <c r="A150" s="281">
        <v>111</v>
      </c>
      <c r="B150" s="288" t="s">
        <v>496</v>
      </c>
      <c r="C150" s="45"/>
      <c r="D150" s="544"/>
      <c r="E150" s="422">
        <v>1</v>
      </c>
      <c r="F150" s="544">
        <f t="shared" si="6"/>
        <v>0</v>
      </c>
      <c r="G150" s="47"/>
    </row>
    <row r="151" spans="1:7" x14ac:dyDescent="0.2">
      <c r="A151" s="281">
        <v>112</v>
      </c>
      <c r="B151" s="288" t="s">
        <v>497</v>
      </c>
      <c r="C151" s="45"/>
      <c r="D151" s="544"/>
      <c r="E151" s="422">
        <v>1</v>
      </c>
      <c r="F151" s="544">
        <f t="shared" si="6"/>
        <v>0</v>
      </c>
      <c r="G151" s="47"/>
    </row>
    <row r="152" spans="1:7" x14ac:dyDescent="0.2">
      <c r="A152" s="281">
        <v>113</v>
      </c>
      <c r="B152" s="288" t="s">
        <v>498</v>
      </c>
      <c r="C152" s="45"/>
      <c r="D152" s="544"/>
      <c r="E152" s="422">
        <v>1</v>
      </c>
      <c r="F152" s="544">
        <f t="shared" si="6"/>
        <v>0</v>
      </c>
      <c r="G152" s="47"/>
    </row>
    <row r="153" spans="1:7" x14ac:dyDescent="0.2">
      <c r="A153" s="281">
        <v>114</v>
      </c>
      <c r="B153" s="288" t="s">
        <v>499</v>
      </c>
      <c r="C153" s="45"/>
      <c r="D153" s="544"/>
      <c r="E153" s="422">
        <v>1</v>
      </c>
      <c r="F153" s="544">
        <f t="shared" si="6"/>
        <v>0</v>
      </c>
      <c r="G153" s="47"/>
    </row>
    <row r="154" spans="1:7" x14ac:dyDescent="0.2">
      <c r="A154" s="281">
        <v>115</v>
      </c>
      <c r="B154" s="288" t="s">
        <v>500</v>
      </c>
      <c r="C154" s="45"/>
      <c r="D154" s="544"/>
      <c r="E154" s="422">
        <v>1</v>
      </c>
      <c r="F154" s="544">
        <f t="shared" si="6"/>
        <v>0</v>
      </c>
      <c r="G154" s="47"/>
    </row>
    <row r="155" spans="1:7" x14ac:dyDescent="0.2">
      <c r="A155" s="281">
        <v>116</v>
      </c>
      <c r="B155" s="288" t="s">
        <v>501</v>
      </c>
      <c r="C155" s="45"/>
      <c r="D155" s="544">
        <v>3017.43</v>
      </c>
      <c r="E155" s="422">
        <v>1</v>
      </c>
      <c r="F155" s="544">
        <f t="shared" si="6"/>
        <v>3017.43</v>
      </c>
      <c r="G155" s="47"/>
    </row>
    <row r="156" spans="1:7" x14ac:dyDescent="0.2">
      <c r="A156" s="281">
        <v>117</v>
      </c>
      <c r="B156" s="288" t="s">
        <v>502</v>
      </c>
      <c r="C156" s="45"/>
      <c r="D156" s="544">
        <v>9288.51</v>
      </c>
      <c r="E156" s="422">
        <v>1</v>
      </c>
      <c r="F156" s="544">
        <f t="shared" si="6"/>
        <v>9288.51</v>
      </c>
      <c r="G156" s="47"/>
    </row>
    <row r="157" spans="1:7" x14ac:dyDescent="0.2">
      <c r="A157" s="281">
        <v>118</v>
      </c>
      <c r="B157" s="288" t="s">
        <v>503</v>
      </c>
      <c r="C157" s="45"/>
      <c r="D157" s="544">
        <v>617.46</v>
      </c>
      <c r="E157" s="422">
        <v>1</v>
      </c>
      <c r="F157" s="544">
        <f t="shared" si="6"/>
        <v>617.46</v>
      </c>
      <c r="G157" s="47"/>
    </row>
    <row r="158" spans="1:7" x14ac:dyDescent="0.2">
      <c r="A158" s="281">
        <v>119</v>
      </c>
      <c r="B158" s="288" t="s">
        <v>504</v>
      </c>
      <c r="C158" s="45"/>
      <c r="D158" s="544">
        <v>10233.75</v>
      </c>
      <c r="E158" s="422">
        <v>1</v>
      </c>
      <c r="F158" s="544">
        <f t="shared" si="6"/>
        <v>10233.75</v>
      </c>
      <c r="G158" s="47"/>
    </row>
    <row r="159" spans="1:7" x14ac:dyDescent="0.2">
      <c r="A159" s="281">
        <v>120</v>
      </c>
      <c r="B159" s="288" t="s">
        <v>505</v>
      </c>
      <c r="C159" s="45"/>
      <c r="D159" s="544"/>
      <c r="E159" s="422">
        <v>1</v>
      </c>
      <c r="F159" s="544">
        <f t="shared" si="6"/>
        <v>0</v>
      </c>
      <c r="G159" s="47"/>
    </row>
    <row r="160" spans="1:7" x14ac:dyDescent="0.2">
      <c r="A160" s="281">
        <v>121</v>
      </c>
      <c r="B160" s="288" t="s">
        <v>506</v>
      </c>
      <c r="C160" s="45"/>
      <c r="D160" s="544">
        <v>600.47</v>
      </c>
      <c r="E160" s="422">
        <v>1</v>
      </c>
      <c r="F160" s="544">
        <f t="shared" si="6"/>
        <v>600.47</v>
      </c>
      <c r="G160" s="47"/>
    </row>
    <row r="161" spans="1:7" x14ac:dyDescent="0.2">
      <c r="A161" s="281">
        <v>122</v>
      </c>
      <c r="B161" s="288" t="s">
        <v>507</v>
      </c>
      <c r="C161" s="45"/>
      <c r="D161" s="544"/>
      <c r="E161" s="422">
        <v>1</v>
      </c>
      <c r="F161" s="544">
        <f t="shared" si="6"/>
        <v>0</v>
      </c>
      <c r="G161" s="47"/>
    </row>
    <row r="162" spans="1:7" x14ac:dyDescent="0.2">
      <c r="A162" s="281">
        <v>123</v>
      </c>
      <c r="B162" s="288" t="s">
        <v>508</v>
      </c>
      <c r="C162" s="45"/>
      <c r="D162" s="544"/>
      <c r="E162" s="422">
        <v>1</v>
      </c>
      <c r="F162" s="544">
        <f t="shared" si="6"/>
        <v>0</v>
      </c>
      <c r="G162" s="47"/>
    </row>
    <row r="163" spans="1:7" x14ac:dyDescent="0.2">
      <c r="A163" s="281">
        <v>124</v>
      </c>
      <c r="B163" s="288" t="s">
        <v>509</v>
      </c>
      <c r="C163" s="45"/>
      <c r="D163" s="544"/>
      <c r="E163" s="422">
        <v>1</v>
      </c>
      <c r="F163" s="544">
        <f t="shared" si="6"/>
        <v>0</v>
      </c>
      <c r="G163" s="47"/>
    </row>
    <row r="164" spans="1:7" x14ac:dyDescent="0.2">
      <c r="A164" s="281">
        <v>125</v>
      </c>
      <c r="B164" s="288" t="s">
        <v>510</v>
      </c>
      <c r="C164" s="45"/>
      <c r="D164" s="544"/>
      <c r="E164" s="422">
        <v>1</v>
      </c>
      <c r="F164" s="544">
        <f t="shared" si="6"/>
        <v>0</v>
      </c>
      <c r="G164" s="47"/>
    </row>
    <row r="165" spans="1:7" x14ac:dyDescent="0.2">
      <c r="A165" s="281">
        <v>126</v>
      </c>
      <c r="B165" s="288" t="s">
        <v>511</v>
      </c>
      <c r="C165" s="45"/>
      <c r="D165" s="544"/>
      <c r="E165" s="422">
        <v>1</v>
      </c>
      <c r="F165" s="544">
        <f t="shared" si="6"/>
        <v>0</v>
      </c>
      <c r="G165" s="47"/>
    </row>
    <row r="166" spans="1:7" x14ac:dyDescent="0.2">
      <c r="A166" s="281">
        <v>127</v>
      </c>
      <c r="B166" s="288" t="s">
        <v>28</v>
      </c>
      <c r="C166" s="45"/>
      <c r="D166" s="544"/>
      <c r="E166" s="422">
        <v>1</v>
      </c>
      <c r="F166" s="544">
        <f t="shared" si="6"/>
        <v>0</v>
      </c>
      <c r="G166" s="47"/>
    </row>
    <row r="167" spans="1:7" x14ac:dyDescent="0.2">
      <c r="A167" s="281">
        <v>128</v>
      </c>
      <c r="B167" s="288" t="s">
        <v>29</v>
      </c>
      <c r="C167" s="45"/>
      <c r="D167" s="544"/>
      <c r="E167" s="422">
        <v>1</v>
      </c>
      <c r="F167" s="544">
        <f t="shared" si="6"/>
        <v>0</v>
      </c>
      <c r="G167" s="47"/>
    </row>
    <row r="168" spans="1:7" x14ac:dyDescent="0.2">
      <c r="A168" s="281">
        <v>129</v>
      </c>
      <c r="B168" s="288" t="s">
        <v>30</v>
      </c>
      <c r="C168" s="45"/>
      <c r="D168" s="544"/>
      <c r="E168" s="422">
        <v>1</v>
      </c>
      <c r="F168" s="544">
        <f t="shared" si="6"/>
        <v>0</v>
      </c>
      <c r="G168" s="47"/>
    </row>
    <row r="169" spans="1:7" x14ac:dyDescent="0.2">
      <c r="A169" s="281">
        <v>130</v>
      </c>
      <c r="B169" s="288" t="s">
        <v>31</v>
      </c>
      <c r="C169" s="45"/>
      <c r="D169" s="544"/>
      <c r="E169" s="422">
        <v>1</v>
      </c>
      <c r="F169" s="544">
        <f t="shared" si="6"/>
        <v>0</v>
      </c>
      <c r="G169" s="47"/>
    </row>
    <row r="170" spans="1:7" x14ac:dyDescent="0.2">
      <c r="A170" s="281">
        <v>131</v>
      </c>
      <c r="B170" s="288" t="s">
        <v>32</v>
      </c>
      <c r="C170" s="45"/>
      <c r="D170" s="544"/>
      <c r="E170" s="422">
        <v>1</v>
      </c>
      <c r="F170" s="544">
        <f t="shared" si="6"/>
        <v>0</v>
      </c>
      <c r="G170" s="47"/>
    </row>
    <row r="171" spans="1:7" x14ac:dyDescent="0.2">
      <c r="A171" s="281">
        <v>132</v>
      </c>
      <c r="B171" s="288" t="s">
        <v>33</v>
      </c>
      <c r="C171" s="45"/>
      <c r="D171" s="544">
        <v>103.33</v>
      </c>
      <c r="E171" s="422">
        <v>1</v>
      </c>
      <c r="F171" s="544">
        <f t="shared" si="6"/>
        <v>103.33</v>
      </c>
      <c r="G171" s="47"/>
    </row>
    <row r="172" spans="1:7" x14ac:dyDescent="0.2">
      <c r="A172" s="281">
        <v>133</v>
      </c>
      <c r="B172" s="288" t="s">
        <v>34</v>
      </c>
      <c r="C172" s="45"/>
      <c r="D172" s="544"/>
      <c r="E172" s="422">
        <v>1</v>
      </c>
      <c r="F172" s="544">
        <f t="shared" si="6"/>
        <v>0</v>
      </c>
      <c r="G172" s="47"/>
    </row>
    <row r="173" spans="1:7" x14ac:dyDescent="0.2">
      <c r="A173" s="281">
        <v>134</v>
      </c>
      <c r="B173" s="288" t="s">
        <v>35</v>
      </c>
      <c r="C173" s="45"/>
      <c r="D173" s="544"/>
      <c r="E173" s="422">
        <v>1</v>
      </c>
      <c r="F173" s="544">
        <f t="shared" si="6"/>
        <v>0</v>
      </c>
      <c r="G173" s="47"/>
    </row>
    <row r="174" spans="1:7" x14ac:dyDescent="0.2">
      <c r="A174" s="281">
        <v>135</v>
      </c>
      <c r="B174" s="288" t="s">
        <v>36</v>
      </c>
      <c r="C174" s="45"/>
      <c r="D174" s="544"/>
      <c r="E174" s="422">
        <v>1</v>
      </c>
      <c r="F174" s="544">
        <f t="shared" si="6"/>
        <v>0</v>
      </c>
      <c r="G174" s="47"/>
    </row>
    <row r="175" spans="1:7" x14ac:dyDescent="0.2">
      <c r="A175" s="281">
        <v>136</v>
      </c>
      <c r="B175" s="288" t="s">
        <v>37</v>
      </c>
      <c r="C175" s="45"/>
      <c r="D175" s="544"/>
      <c r="E175" s="422">
        <v>1</v>
      </c>
      <c r="F175" s="544">
        <f t="shared" si="6"/>
        <v>0</v>
      </c>
      <c r="G175" s="47"/>
    </row>
    <row r="176" spans="1:7" x14ac:dyDescent="0.2">
      <c r="A176" s="281">
        <v>137</v>
      </c>
      <c r="B176" s="288" t="s">
        <v>38</v>
      </c>
      <c r="C176" s="45"/>
      <c r="D176" s="544"/>
      <c r="E176" s="422">
        <v>1</v>
      </c>
      <c r="F176" s="544">
        <f t="shared" si="6"/>
        <v>0</v>
      </c>
      <c r="G176" s="47"/>
    </row>
    <row r="177" spans="1:7" x14ac:dyDescent="0.2">
      <c r="A177" s="281">
        <v>138</v>
      </c>
      <c r="B177" s="288" t="s">
        <v>512</v>
      </c>
      <c r="C177" s="45"/>
      <c r="D177" s="544">
        <v>1800.55</v>
      </c>
      <c r="E177" s="422">
        <v>1</v>
      </c>
      <c r="F177" s="544">
        <f t="shared" si="6"/>
        <v>1800.55</v>
      </c>
      <c r="G177" s="47"/>
    </row>
    <row r="178" spans="1:7" x14ac:dyDescent="0.2">
      <c r="A178" s="304"/>
      <c r="B178" s="325"/>
      <c r="C178" s="282"/>
      <c r="D178" s="544"/>
      <c r="E178" s="422"/>
      <c r="F178" s="544"/>
      <c r="G178" s="47"/>
    </row>
    <row r="179" spans="1:7" x14ac:dyDescent="0.2">
      <c r="A179" s="301" t="s">
        <v>39</v>
      </c>
      <c r="B179" s="288"/>
      <c r="C179" s="282"/>
      <c r="D179" s="544"/>
      <c r="E179" s="422"/>
      <c r="F179" s="544"/>
      <c r="G179" s="47"/>
    </row>
    <row r="180" spans="1:7" x14ac:dyDescent="0.2">
      <c r="A180" s="301"/>
      <c r="B180" s="288"/>
      <c r="C180" s="299" t="s">
        <v>40</v>
      </c>
      <c r="D180" s="544"/>
      <c r="E180" s="422"/>
      <c r="F180" s="544"/>
      <c r="G180" s="47"/>
    </row>
    <row r="181" spans="1:7" x14ac:dyDescent="0.2">
      <c r="A181" s="281">
        <v>139</v>
      </c>
      <c r="B181" s="288" t="s">
        <v>513</v>
      </c>
      <c r="C181" s="45"/>
      <c r="D181" s="544"/>
      <c r="E181" s="422">
        <v>0.52</v>
      </c>
      <c r="F181" s="544">
        <f t="shared" si="6"/>
        <v>0</v>
      </c>
      <c r="G181" s="47" t="s">
        <v>433</v>
      </c>
    </row>
    <row r="182" spans="1:7" x14ac:dyDescent="0.2">
      <c r="A182" s="281">
        <v>140</v>
      </c>
      <c r="B182" s="288" t="s">
        <v>514</v>
      </c>
      <c r="C182" s="45"/>
      <c r="D182" s="551">
        <f>D39</f>
        <v>0</v>
      </c>
      <c r="E182" s="422">
        <v>0.6</v>
      </c>
      <c r="F182" s="544">
        <f>D182*E182</f>
        <v>0</v>
      </c>
      <c r="G182" s="47" t="s">
        <v>432</v>
      </c>
    </row>
    <row r="183" spans="1:7" x14ac:dyDescent="0.2">
      <c r="A183" s="281">
        <v>141</v>
      </c>
      <c r="B183" s="288" t="s">
        <v>515</v>
      </c>
      <c r="C183" s="45"/>
      <c r="D183" s="544"/>
      <c r="E183" s="422">
        <v>1</v>
      </c>
      <c r="F183" s="544">
        <f t="shared" si="6"/>
        <v>0</v>
      </c>
      <c r="G183" s="47"/>
    </row>
    <row r="184" spans="1:7" x14ac:dyDescent="0.2">
      <c r="A184" s="281">
        <v>142</v>
      </c>
      <c r="B184" s="288" t="s">
        <v>41</v>
      </c>
      <c r="C184" s="45"/>
      <c r="D184" s="544"/>
      <c r="E184" s="422">
        <v>0.68279999999999996</v>
      </c>
      <c r="F184" s="544">
        <f t="shared" si="6"/>
        <v>0</v>
      </c>
      <c r="G184" s="47" t="s">
        <v>434</v>
      </c>
    </row>
    <row r="185" spans="1:7" x14ac:dyDescent="0.2">
      <c r="A185" s="281">
        <v>143</v>
      </c>
      <c r="B185" s="288" t="s">
        <v>42</v>
      </c>
      <c r="C185" s="45"/>
      <c r="D185" s="544"/>
      <c r="E185" s="422">
        <v>1</v>
      </c>
      <c r="F185" s="544">
        <f t="shared" si="6"/>
        <v>0</v>
      </c>
      <c r="G185" s="47"/>
    </row>
    <row r="186" spans="1:7" x14ac:dyDescent="0.2">
      <c r="A186" s="281">
        <v>144</v>
      </c>
      <c r="B186" s="288" t="s">
        <v>43</v>
      </c>
      <c r="C186" s="45"/>
      <c r="D186" s="544"/>
      <c r="E186" s="422">
        <v>1</v>
      </c>
      <c r="F186" s="544">
        <f t="shared" si="6"/>
        <v>0</v>
      </c>
      <c r="G186" s="47"/>
    </row>
    <row r="187" spans="1:7" x14ac:dyDescent="0.2">
      <c r="A187" s="281">
        <v>145</v>
      </c>
      <c r="B187" s="288" t="s">
        <v>44</v>
      </c>
      <c r="C187" s="45"/>
      <c r="D187" s="544"/>
      <c r="E187" s="422">
        <v>1</v>
      </c>
      <c r="F187" s="544">
        <f t="shared" si="6"/>
        <v>0</v>
      </c>
      <c r="G187" s="47"/>
    </row>
    <row r="188" spans="1:7" x14ac:dyDescent="0.2">
      <c r="A188" s="281"/>
      <c r="B188" s="288"/>
      <c r="C188" s="45"/>
      <c r="D188" s="544"/>
      <c r="E188" s="422"/>
      <c r="F188" s="544">
        <f t="shared" si="6"/>
        <v>0</v>
      </c>
      <c r="G188" s="47"/>
    </row>
    <row r="189" spans="1:7" x14ac:dyDescent="0.2">
      <c r="A189" s="281">
        <v>146</v>
      </c>
      <c r="B189" s="288" t="s">
        <v>516</v>
      </c>
      <c r="C189" s="45"/>
      <c r="D189" s="551">
        <f>D120+D121</f>
        <v>1814.0720453856002</v>
      </c>
      <c r="E189" s="422">
        <v>6.5000000000000002E-2</v>
      </c>
      <c r="F189" s="544">
        <f t="shared" si="6"/>
        <v>117.91468295006402</v>
      </c>
      <c r="G189" s="47" t="s">
        <v>378</v>
      </c>
    </row>
    <row r="190" spans="1:7" x14ac:dyDescent="0.2">
      <c r="A190" s="281">
        <v>147</v>
      </c>
      <c r="B190" s="288" t="s">
        <v>517</v>
      </c>
      <c r="C190" s="45"/>
      <c r="D190" s="551">
        <f>D122</f>
        <v>192.29907048039999</v>
      </c>
      <c r="E190" s="422">
        <v>4.6899999999999997E-2</v>
      </c>
      <c r="F190" s="544">
        <f t="shared" si="6"/>
        <v>9.0188264055307599</v>
      </c>
      <c r="G190" s="47" t="s">
        <v>378</v>
      </c>
    </row>
    <row r="191" spans="1:7" x14ac:dyDescent="0.2">
      <c r="A191" s="281">
        <v>148</v>
      </c>
      <c r="B191" s="288" t="s">
        <v>518</v>
      </c>
      <c r="C191" s="45"/>
      <c r="D191" s="551">
        <f>D123</f>
        <v>64.02222026199999</v>
      </c>
      <c r="E191" s="422">
        <v>7.8700000000000006E-2</v>
      </c>
      <c r="F191" s="544">
        <f t="shared" si="6"/>
        <v>5.0385487346193996</v>
      </c>
      <c r="G191" s="47" t="s">
        <v>378</v>
      </c>
    </row>
    <row r="192" spans="1:7" x14ac:dyDescent="0.2">
      <c r="A192" s="281">
        <v>149</v>
      </c>
      <c r="B192" s="288" t="s">
        <v>519</v>
      </c>
      <c r="C192" s="45"/>
      <c r="D192" s="551">
        <f>D124</f>
        <v>0</v>
      </c>
      <c r="E192" s="422">
        <v>7.6999999999999999E-2</v>
      </c>
      <c r="F192" s="544">
        <f t="shared" si="6"/>
        <v>0</v>
      </c>
      <c r="G192" s="47" t="s">
        <v>378</v>
      </c>
    </row>
    <row r="193" spans="1:7" x14ac:dyDescent="0.2">
      <c r="A193" s="305">
        <v>150</v>
      </c>
      <c r="B193" s="347" t="s">
        <v>520</v>
      </c>
      <c r="C193" s="48"/>
      <c r="D193" s="554">
        <f>D126</f>
        <v>0</v>
      </c>
      <c r="E193" s="424">
        <v>0.1192</v>
      </c>
      <c r="F193" s="547">
        <f t="shared" si="6"/>
        <v>0</v>
      </c>
      <c r="G193" s="49" t="s">
        <v>378</v>
      </c>
    </row>
  </sheetData>
  <mergeCells count="10">
    <mergeCell ref="M5:O5"/>
    <mergeCell ref="A1:G1"/>
    <mergeCell ref="A2:G2"/>
    <mergeCell ref="A3:G3"/>
    <mergeCell ref="A7:A8"/>
    <mergeCell ref="J3:K4"/>
    <mergeCell ref="G4:G5"/>
    <mergeCell ref="E4:E5"/>
    <mergeCell ref="A4:C4"/>
    <mergeCell ref="A5:C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0"/>
  <sheetViews>
    <sheetView workbookViewId="0">
      <selection activeCell="L8" sqref="L8"/>
    </sheetView>
  </sheetViews>
  <sheetFormatPr defaultColWidth="8.85546875" defaultRowHeight="11.25" x14ac:dyDescent="0.2"/>
  <cols>
    <col min="1" max="1" width="2.7109375" style="22" customWidth="1"/>
    <col min="2" max="2" width="2.7109375" style="249" customWidth="1"/>
    <col min="3" max="3" width="36.42578125" style="22" customWidth="1"/>
    <col min="4" max="9" width="9" style="545" customWidth="1"/>
    <col min="10" max="10" width="11.85546875" style="545" customWidth="1"/>
    <col min="11" max="11" width="9.28515625" style="259" customWidth="1"/>
    <col min="12" max="12" width="12.7109375" style="545" customWidth="1"/>
    <col min="13" max="13" width="33.5703125" style="22" bestFit="1" customWidth="1"/>
    <col min="14" max="14" width="3.5703125" style="22" customWidth="1"/>
    <col min="15" max="16384" width="8.85546875" style="22"/>
  </cols>
  <sheetData>
    <row r="1" spans="1:13" x14ac:dyDescent="0.2">
      <c r="A1" s="590" t="s">
        <v>436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2"/>
    </row>
    <row r="2" spans="1:13" x14ac:dyDescent="0.2">
      <c r="A2" s="593" t="s">
        <v>1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5"/>
    </row>
    <row r="3" spans="1:13" ht="10.15" customHeight="1" x14ac:dyDescent="0.2">
      <c r="A3" s="596" t="str">
        <f>Produksi!A3</f>
        <v>TAHUN 2025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8"/>
    </row>
    <row r="4" spans="1:13" ht="22.5" customHeight="1" x14ac:dyDescent="0.2">
      <c r="A4" s="602" t="s">
        <v>48</v>
      </c>
      <c r="B4" s="602"/>
      <c r="C4" s="602"/>
      <c r="D4" s="608" t="s">
        <v>176</v>
      </c>
      <c r="E4" s="609"/>
      <c r="F4" s="610"/>
      <c r="G4" s="608" t="s">
        <v>177</v>
      </c>
      <c r="H4" s="609"/>
      <c r="I4" s="610"/>
      <c r="J4" s="605" t="s">
        <v>178</v>
      </c>
      <c r="K4" s="607" t="s">
        <v>380</v>
      </c>
      <c r="L4" s="587" t="s">
        <v>440</v>
      </c>
      <c r="M4" s="602" t="s">
        <v>430</v>
      </c>
    </row>
    <row r="5" spans="1:13" ht="14.45" customHeight="1" x14ac:dyDescent="0.2">
      <c r="A5" s="604" t="s">
        <v>49</v>
      </c>
      <c r="B5" s="604"/>
      <c r="C5" s="604"/>
      <c r="D5" s="555" t="s">
        <v>437</v>
      </c>
      <c r="E5" s="555" t="s">
        <v>438</v>
      </c>
      <c r="F5" s="555" t="s">
        <v>439</v>
      </c>
      <c r="G5" s="555" t="s">
        <v>437</v>
      </c>
      <c r="H5" s="555" t="s">
        <v>438</v>
      </c>
      <c r="I5" s="555" t="s">
        <v>439</v>
      </c>
      <c r="J5" s="606"/>
      <c r="K5" s="607"/>
      <c r="L5" s="542" t="s">
        <v>47</v>
      </c>
      <c r="M5" s="602"/>
    </row>
    <row r="6" spans="1:13" x14ac:dyDescent="0.2">
      <c r="A6" s="307" t="s">
        <v>396</v>
      </c>
      <c r="B6" s="308"/>
      <c r="C6" s="308"/>
      <c r="D6" s="556"/>
      <c r="E6" s="556"/>
      <c r="F6" s="556"/>
      <c r="G6" s="556"/>
      <c r="H6" s="557"/>
      <c r="I6" s="557"/>
      <c r="J6" s="543"/>
      <c r="K6" s="309"/>
      <c r="L6" s="543"/>
      <c r="M6" s="46"/>
    </row>
    <row r="7" spans="1:13" x14ac:dyDescent="0.2">
      <c r="A7" s="281">
        <v>1</v>
      </c>
      <c r="B7" s="288" t="s">
        <v>390</v>
      </c>
      <c r="C7" s="288"/>
      <c r="D7" s="588">
        <v>25.241160000000001</v>
      </c>
      <c r="E7" s="546">
        <v>0</v>
      </c>
      <c r="F7" s="546">
        <v>0</v>
      </c>
      <c r="G7" s="588">
        <v>25.241160000000001</v>
      </c>
      <c r="H7" s="546">
        <v>0</v>
      </c>
      <c r="I7" s="546">
        <v>0</v>
      </c>
      <c r="J7" s="544">
        <f>((G7+H7+I7)-(D7+E7+F7))</f>
        <v>0</v>
      </c>
      <c r="K7" s="289">
        <v>1</v>
      </c>
      <c r="L7" s="544">
        <f>(J7*K7)</f>
        <v>0</v>
      </c>
      <c r="M7" s="47"/>
    </row>
    <row r="8" spans="1:13" x14ac:dyDescent="0.2">
      <c r="A8" s="281">
        <v>2</v>
      </c>
      <c r="B8" s="288" t="s">
        <v>397</v>
      </c>
      <c r="C8" s="288"/>
      <c r="D8" s="558"/>
      <c r="E8" s="558"/>
      <c r="F8" s="558"/>
      <c r="G8" s="558"/>
      <c r="H8" s="558"/>
      <c r="I8" s="558"/>
      <c r="J8" s="544">
        <f>((G8+H8+I8)-(D8+E8+F8))</f>
        <v>0</v>
      </c>
      <c r="K8" s="289">
        <v>1</v>
      </c>
      <c r="L8" s="544">
        <f>(J8*K8)</f>
        <v>0</v>
      </c>
      <c r="M8" s="47" t="s">
        <v>575</v>
      </c>
    </row>
    <row r="9" spans="1:13" x14ac:dyDescent="0.2">
      <c r="A9" s="281">
        <v>3</v>
      </c>
      <c r="B9" s="288" t="s">
        <v>394</v>
      </c>
      <c r="C9" s="288"/>
      <c r="D9" s="558"/>
      <c r="E9" s="558"/>
      <c r="F9" s="558"/>
      <c r="G9" s="558"/>
      <c r="H9" s="558"/>
      <c r="I9" s="558"/>
      <c r="J9" s="544">
        <f>((G9+H9+I9)-(D9+E9+F9))</f>
        <v>0</v>
      </c>
      <c r="K9" s="290">
        <v>1</v>
      </c>
      <c r="L9" s="544">
        <f>(J9*K9)</f>
        <v>0</v>
      </c>
      <c r="M9" s="47"/>
    </row>
    <row r="10" spans="1:13" x14ac:dyDescent="0.2">
      <c r="A10" s="281">
        <v>4</v>
      </c>
      <c r="B10" s="288" t="s">
        <v>369</v>
      </c>
      <c r="C10" s="288"/>
      <c r="D10" s="558"/>
      <c r="E10" s="558"/>
      <c r="F10" s="558"/>
      <c r="G10" s="558"/>
      <c r="H10" s="558"/>
      <c r="I10" s="558"/>
      <c r="J10" s="544"/>
      <c r="K10" s="22"/>
      <c r="L10" s="545">
        <f>L11+L12</f>
        <v>0</v>
      </c>
      <c r="M10" s="47"/>
    </row>
    <row r="11" spans="1:13" x14ac:dyDescent="0.2">
      <c r="A11" s="281"/>
      <c r="B11" s="288"/>
      <c r="C11" s="282" t="s">
        <v>393</v>
      </c>
      <c r="D11" s="558"/>
      <c r="E11" s="546"/>
      <c r="F11" s="546"/>
      <c r="G11" s="546"/>
      <c r="H11" s="546"/>
      <c r="I11" s="546"/>
      <c r="J11" s="544">
        <f>((G11+H11+I11)-(D11+E11+F11))</f>
        <v>0</v>
      </c>
      <c r="K11" s="285">
        <v>1</v>
      </c>
      <c r="L11" s="544">
        <f>J11*K11</f>
        <v>0</v>
      </c>
      <c r="M11" s="47"/>
    </row>
    <row r="12" spans="1:13" x14ac:dyDescent="0.2">
      <c r="A12" s="281"/>
      <c r="B12" s="288"/>
      <c r="C12" s="282" t="s">
        <v>54</v>
      </c>
      <c r="D12" s="546"/>
      <c r="E12" s="546"/>
      <c r="F12" s="546"/>
      <c r="G12" s="546"/>
      <c r="H12" s="546"/>
      <c r="I12" s="546"/>
      <c r="J12" s="544">
        <f>((G12+H12+I12)-(D12+E12+F12))</f>
        <v>0</v>
      </c>
      <c r="K12" s="290">
        <v>0.72</v>
      </c>
      <c r="L12" s="544">
        <f>J12/K12</f>
        <v>0</v>
      </c>
      <c r="M12" s="47" t="s">
        <v>379</v>
      </c>
    </row>
    <row r="13" spans="1:13" x14ac:dyDescent="0.2">
      <c r="A13" s="281"/>
      <c r="B13" s="288"/>
      <c r="C13" s="282"/>
      <c r="D13" s="546"/>
      <c r="E13" s="546"/>
      <c r="F13" s="546"/>
      <c r="G13" s="546"/>
      <c r="H13" s="546"/>
      <c r="I13" s="546"/>
      <c r="J13" s="544"/>
      <c r="K13" s="285"/>
      <c r="L13" s="544"/>
      <c r="M13" s="47"/>
    </row>
    <row r="14" spans="1:13" x14ac:dyDescent="0.2">
      <c r="A14" s="300" t="s">
        <v>55</v>
      </c>
      <c r="B14" s="291"/>
      <c r="C14" s="282"/>
      <c r="D14" s="546"/>
      <c r="E14" s="546"/>
      <c r="F14" s="546"/>
      <c r="G14" s="546"/>
      <c r="H14" s="546"/>
      <c r="I14" s="546"/>
      <c r="J14" s="544"/>
      <c r="K14" s="285"/>
      <c r="L14" s="544"/>
      <c r="M14" s="47"/>
    </row>
    <row r="15" spans="1:13" x14ac:dyDescent="0.2">
      <c r="A15" s="281">
        <v>5</v>
      </c>
      <c r="B15" s="288" t="s">
        <v>370</v>
      </c>
      <c r="C15" s="45"/>
      <c r="D15" s="544"/>
      <c r="E15" s="544"/>
      <c r="F15" s="544"/>
      <c r="G15" s="544"/>
      <c r="H15" s="544"/>
      <c r="I15" s="544"/>
      <c r="J15" s="544">
        <f>((G15+H15+I15)-(D15+E15+F15))</f>
        <v>0</v>
      </c>
      <c r="K15" s="285">
        <v>1</v>
      </c>
      <c r="L15" s="544">
        <f>J15*K15</f>
        <v>0</v>
      </c>
      <c r="M15" s="47"/>
    </row>
    <row r="16" spans="1:13" x14ac:dyDescent="0.2">
      <c r="A16" s="281">
        <v>6</v>
      </c>
      <c r="B16" s="288" t="s">
        <v>371</v>
      </c>
      <c r="C16" s="45"/>
      <c r="D16" s="544"/>
      <c r="E16" s="544"/>
      <c r="F16" s="544"/>
      <c r="G16" s="544"/>
      <c r="H16" s="544"/>
      <c r="I16" s="544"/>
      <c r="J16" s="544"/>
      <c r="K16" s="22"/>
      <c r="L16" s="545">
        <f>L17+L18+L19</f>
        <v>0</v>
      </c>
      <c r="M16" s="47"/>
    </row>
    <row r="17" spans="1:13" x14ac:dyDescent="0.2">
      <c r="A17" s="281"/>
      <c r="B17" s="288"/>
      <c r="C17" s="45" t="s">
        <v>392</v>
      </c>
      <c r="D17" s="544"/>
      <c r="E17" s="544"/>
      <c r="F17" s="544"/>
      <c r="G17" s="544"/>
      <c r="H17" s="544"/>
      <c r="I17" s="544"/>
      <c r="J17" s="544">
        <f>((G17+H17+I17)-(D17+E17+F17))</f>
        <v>0</v>
      </c>
      <c r="K17" s="285">
        <v>1</v>
      </c>
      <c r="L17" s="544">
        <f>J17*K17</f>
        <v>0</v>
      </c>
      <c r="M17" s="47"/>
    </row>
    <row r="18" spans="1:13" x14ac:dyDescent="0.2">
      <c r="A18" s="281"/>
      <c r="B18" s="288"/>
      <c r="C18" s="282" t="s">
        <v>381</v>
      </c>
      <c r="D18" s="546"/>
      <c r="E18" s="546"/>
      <c r="F18" s="546"/>
      <c r="G18" s="546"/>
      <c r="H18" s="546"/>
      <c r="I18" s="546"/>
      <c r="J18" s="544">
        <f>((G18+H18+I18)-(D18+E18+F18))</f>
        <v>0</v>
      </c>
      <c r="K18" s="285">
        <v>2.78</v>
      </c>
      <c r="L18" s="544">
        <f>J18*K18</f>
        <v>0</v>
      </c>
      <c r="M18" s="47" t="s">
        <v>388</v>
      </c>
    </row>
    <row r="19" spans="1:13" x14ac:dyDescent="0.2">
      <c r="A19" s="281"/>
      <c r="B19" s="288"/>
      <c r="C19" s="282" t="s">
        <v>382</v>
      </c>
      <c r="D19" s="546"/>
      <c r="E19" s="546"/>
      <c r="F19" s="546"/>
      <c r="G19" s="546"/>
      <c r="H19" s="546"/>
      <c r="I19" s="546"/>
      <c r="J19" s="544">
        <f>((G19+H19+I19)-(D19+E19+F19))</f>
        <v>0</v>
      </c>
      <c r="K19" s="285">
        <v>3.57</v>
      </c>
      <c r="L19" s="544">
        <f t="shared" ref="L19" si="0">J19*K19</f>
        <v>0</v>
      </c>
      <c r="M19" s="47" t="s">
        <v>389</v>
      </c>
    </row>
    <row r="20" spans="1:13" x14ac:dyDescent="0.2">
      <c r="A20" s="281">
        <v>7</v>
      </c>
      <c r="B20" s="288" t="s">
        <v>372</v>
      </c>
      <c r="C20" s="282"/>
      <c r="D20" s="546"/>
      <c r="E20" s="546"/>
      <c r="F20" s="546"/>
      <c r="G20" s="546"/>
      <c r="H20" s="546"/>
      <c r="I20" s="546"/>
      <c r="J20" s="544"/>
      <c r="K20" s="285"/>
      <c r="L20" s="544">
        <f>L21+L22</f>
        <v>0</v>
      </c>
      <c r="M20" s="47"/>
    </row>
    <row r="21" spans="1:13" x14ac:dyDescent="0.2">
      <c r="A21" s="281"/>
      <c r="B21" s="288"/>
      <c r="C21" s="282" t="s">
        <v>395</v>
      </c>
      <c r="D21" s="546"/>
      <c r="E21" s="546"/>
      <c r="F21" s="546"/>
      <c r="G21" s="546"/>
      <c r="H21" s="546"/>
      <c r="I21" s="546"/>
      <c r="J21" s="544">
        <f>((G21+H21+I21)-(D21+E21+F21))</f>
        <v>0</v>
      </c>
      <c r="K21" s="285">
        <v>1</v>
      </c>
      <c r="L21" s="544">
        <f>(J21*K21)</f>
        <v>0</v>
      </c>
      <c r="M21" s="47"/>
    </row>
    <row r="22" spans="1:13" x14ac:dyDescent="0.2">
      <c r="A22" s="281"/>
      <c r="B22" s="288"/>
      <c r="C22" s="282" t="s">
        <v>383</v>
      </c>
      <c r="D22" s="546"/>
      <c r="E22" s="546"/>
      <c r="F22" s="546"/>
      <c r="G22" s="546"/>
      <c r="H22" s="546"/>
      <c r="I22" s="546"/>
      <c r="J22" s="544">
        <f>((G22+H22+I22)-(D22+E22+F22))</f>
        <v>0</v>
      </c>
      <c r="K22" s="285">
        <v>5</v>
      </c>
      <c r="L22" s="544">
        <f>J22*K22</f>
        <v>0</v>
      </c>
      <c r="M22" s="47" t="s">
        <v>590</v>
      </c>
    </row>
    <row r="23" spans="1:13" x14ac:dyDescent="0.2">
      <c r="A23" s="281">
        <v>8</v>
      </c>
      <c r="B23" s="288" t="s">
        <v>368</v>
      </c>
      <c r="C23" s="45"/>
      <c r="D23" s="544"/>
      <c r="E23" s="544"/>
      <c r="F23" s="544"/>
      <c r="G23" s="544"/>
      <c r="H23" s="544"/>
      <c r="I23" s="544"/>
      <c r="J23" s="544">
        <f>((G23+H23+I23)-(D23+E23+F23))</f>
        <v>0</v>
      </c>
      <c r="K23" s="285">
        <v>1</v>
      </c>
      <c r="L23" s="544">
        <f t="shared" ref="L23" si="1">J23*K23</f>
        <v>0</v>
      </c>
      <c r="M23" s="47"/>
    </row>
    <row r="24" spans="1:13" x14ac:dyDescent="0.2">
      <c r="A24" s="281"/>
      <c r="B24" s="288"/>
      <c r="C24" s="282"/>
      <c r="D24" s="546"/>
      <c r="E24" s="546"/>
      <c r="F24" s="546"/>
      <c r="G24" s="546"/>
      <c r="H24" s="546"/>
      <c r="I24" s="546"/>
      <c r="J24" s="544"/>
      <c r="K24" s="285"/>
      <c r="L24" s="544"/>
      <c r="M24" s="47"/>
    </row>
    <row r="25" spans="1:13" x14ac:dyDescent="0.2">
      <c r="A25" s="301" t="s">
        <v>59</v>
      </c>
      <c r="B25" s="288"/>
      <c r="C25" s="282"/>
      <c r="D25" s="546"/>
      <c r="E25" s="546"/>
      <c r="F25" s="546"/>
      <c r="G25" s="546"/>
      <c r="H25" s="546"/>
      <c r="I25" s="546"/>
      <c r="J25" s="544"/>
      <c r="K25" s="285"/>
      <c r="L25" s="544"/>
      <c r="M25" s="47"/>
    </row>
    <row r="26" spans="1:13" x14ac:dyDescent="0.2">
      <c r="A26" s="281">
        <v>9</v>
      </c>
      <c r="B26" s="288" t="s">
        <v>384</v>
      </c>
      <c r="C26" s="45"/>
      <c r="D26" s="544"/>
      <c r="E26" s="544"/>
      <c r="F26" s="544"/>
      <c r="G26" s="544"/>
      <c r="H26" s="544"/>
      <c r="I26" s="544"/>
      <c r="J26" s="544"/>
      <c r="K26" s="285"/>
      <c r="L26" s="544">
        <f>L27+L28</f>
        <v>0</v>
      </c>
      <c r="M26" s="47"/>
    </row>
    <row r="27" spans="1:13" x14ac:dyDescent="0.2">
      <c r="A27" s="281"/>
      <c r="B27" s="66"/>
      <c r="C27" s="45" t="s">
        <v>399</v>
      </c>
      <c r="D27" s="544"/>
      <c r="E27" s="546"/>
      <c r="F27" s="546"/>
      <c r="G27" s="546"/>
      <c r="H27" s="544"/>
      <c r="I27" s="544"/>
      <c r="J27" s="544">
        <f>((G27+H27+I27)-(D27+E27+F27))</f>
        <v>0</v>
      </c>
      <c r="K27" s="285">
        <v>1</v>
      </c>
      <c r="L27" s="544">
        <f>J27*K27</f>
        <v>0</v>
      </c>
      <c r="M27" s="47"/>
    </row>
    <row r="28" spans="1:13" x14ac:dyDescent="0.2">
      <c r="A28" s="281"/>
      <c r="C28" s="282" t="s">
        <v>398</v>
      </c>
      <c r="D28" s="546"/>
      <c r="E28" s="546"/>
      <c r="F28" s="546"/>
      <c r="G28" s="546"/>
      <c r="H28" s="546"/>
      <c r="I28" s="546"/>
      <c r="J28" s="544">
        <f>((G28+H28+I28)-(D28+E28+F28))</f>
        <v>0</v>
      </c>
      <c r="K28" s="285">
        <v>1</v>
      </c>
      <c r="L28" s="544">
        <f>J28*K28</f>
        <v>0</v>
      </c>
      <c r="M28" s="47"/>
    </row>
    <row r="29" spans="1:13" x14ac:dyDescent="0.2">
      <c r="A29" s="281">
        <v>10</v>
      </c>
      <c r="B29" s="288" t="s">
        <v>375</v>
      </c>
      <c r="C29" s="45"/>
      <c r="D29" s="544"/>
      <c r="E29" s="544"/>
      <c r="F29" s="544"/>
      <c r="G29" s="544"/>
      <c r="H29" s="544"/>
      <c r="I29" s="544"/>
      <c r="J29" s="544">
        <f>((G29+H29+I29)-(D29+E29+F29))</f>
        <v>0</v>
      </c>
      <c r="K29" s="285">
        <v>1</v>
      </c>
      <c r="L29" s="544">
        <f t="shared" ref="L29:L92" si="2">J29*K29</f>
        <v>0</v>
      </c>
      <c r="M29" s="47"/>
    </row>
    <row r="30" spans="1:13" x14ac:dyDescent="0.2">
      <c r="A30" s="281"/>
      <c r="B30" s="288"/>
      <c r="C30" s="282"/>
      <c r="D30" s="546"/>
      <c r="E30" s="546"/>
      <c r="F30" s="546"/>
      <c r="G30" s="546"/>
      <c r="H30" s="546"/>
      <c r="I30" s="546"/>
      <c r="J30" s="544"/>
      <c r="K30" s="285"/>
      <c r="L30" s="544"/>
      <c r="M30" s="47"/>
    </row>
    <row r="31" spans="1:13" x14ac:dyDescent="0.2">
      <c r="A31" s="301" t="s">
        <v>2</v>
      </c>
      <c r="B31" s="288"/>
      <c r="C31" s="288"/>
      <c r="D31" s="558"/>
      <c r="E31" s="558"/>
      <c r="F31" s="558"/>
      <c r="G31" s="558"/>
      <c r="H31" s="558"/>
      <c r="I31" s="558"/>
      <c r="J31" s="544"/>
      <c r="K31" s="285"/>
      <c r="L31" s="544"/>
      <c r="M31" s="47"/>
    </row>
    <row r="32" spans="1:13" x14ac:dyDescent="0.2">
      <c r="A32" s="301"/>
      <c r="B32" s="292" t="s">
        <v>3</v>
      </c>
      <c r="C32" s="292"/>
      <c r="D32" s="559"/>
      <c r="E32" s="559"/>
      <c r="F32" s="559"/>
      <c r="G32" s="559"/>
      <c r="H32" s="559"/>
      <c r="I32" s="559"/>
      <c r="J32" s="544"/>
      <c r="K32" s="285"/>
      <c r="L32" s="544"/>
      <c r="M32" s="47"/>
    </row>
    <row r="33" spans="1:13" ht="10.15" customHeight="1" x14ac:dyDescent="0.2">
      <c r="A33" s="281">
        <v>11</v>
      </c>
      <c r="B33" s="288" t="s">
        <v>429</v>
      </c>
      <c r="C33" s="45"/>
      <c r="D33" s="544"/>
      <c r="E33" s="544"/>
      <c r="F33" s="544"/>
      <c r="G33" s="544"/>
      <c r="H33" s="544"/>
      <c r="I33" s="544"/>
      <c r="J33" s="544">
        <f t="shared" ref="J33" si="3">((G33+H33+I33)-(D33+E33+F33))</f>
        <v>0</v>
      </c>
      <c r="K33" s="285">
        <v>0.68</v>
      </c>
      <c r="L33" s="544">
        <f>J33*K33</f>
        <v>0</v>
      </c>
      <c r="M33" s="47" t="s">
        <v>441</v>
      </c>
    </row>
    <row r="34" spans="1:13" x14ac:dyDescent="0.2">
      <c r="A34" s="281">
        <v>12</v>
      </c>
      <c r="B34" s="288" t="s">
        <v>373</v>
      </c>
      <c r="C34" s="45"/>
      <c r="D34" s="544"/>
      <c r="E34" s="544"/>
      <c r="F34" s="544"/>
      <c r="G34" s="544"/>
      <c r="H34" s="544"/>
      <c r="I34" s="544"/>
      <c r="J34" s="544">
        <f t="shared" ref="J34" si="4">((G34+H34+I34)-(D34+E34+F34))</f>
        <v>0</v>
      </c>
      <c r="K34" s="285">
        <v>1</v>
      </c>
      <c r="L34" s="544">
        <f t="shared" si="2"/>
        <v>0</v>
      </c>
      <c r="M34" s="47"/>
    </row>
    <row r="35" spans="1:13" x14ac:dyDescent="0.2">
      <c r="A35" s="281">
        <v>13</v>
      </c>
      <c r="B35" s="288" t="s">
        <v>374</v>
      </c>
      <c r="C35" s="45"/>
      <c r="D35" s="544"/>
      <c r="E35" s="544"/>
      <c r="F35" s="544"/>
      <c r="G35" s="544"/>
      <c r="H35" s="544"/>
      <c r="I35" s="544"/>
      <c r="J35" s="544">
        <f>((G35+H35+I35)-(D35+E35+F35))</f>
        <v>0</v>
      </c>
      <c r="K35" s="285">
        <v>1</v>
      </c>
      <c r="L35" s="544">
        <f>J35*K35</f>
        <v>0</v>
      </c>
      <c r="M35" s="47"/>
    </row>
    <row r="36" spans="1:13" x14ac:dyDescent="0.2">
      <c r="A36" s="281">
        <v>14</v>
      </c>
      <c r="B36" s="288" t="s">
        <v>428</v>
      </c>
      <c r="C36" s="45"/>
      <c r="D36" s="544"/>
      <c r="E36" s="544"/>
      <c r="F36" s="544"/>
      <c r="G36" s="544"/>
      <c r="H36" s="544"/>
      <c r="I36" s="544"/>
      <c r="J36" s="544"/>
      <c r="K36" s="22"/>
      <c r="L36" s="545">
        <f>L37+L38</f>
        <v>0</v>
      </c>
      <c r="M36" s="47"/>
    </row>
    <row r="37" spans="1:13" x14ac:dyDescent="0.2">
      <c r="A37" s="281"/>
      <c r="B37" s="288"/>
      <c r="C37" s="45" t="s">
        <v>426</v>
      </c>
      <c r="D37" s="544"/>
      <c r="E37" s="546"/>
      <c r="F37" s="546"/>
      <c r="G37" s="546"/>
      <c r="H37" s="544"/>
      <c r="I37" s="544"/>
      <c r="J37" s="544">
        <f t="shared" ref="J37:J38" si="5">((G37+H37+I37)-(D37+E37+F37))</f>
        <v>0</v>
      </c>
      <c r="K37" s="285">
        <v>1</v>
      </c>
      <c r="L37" s="544">
        <f>J37*K37</f>
        <v>0</v>
      </c>
      <c r="M37" s="47"/>
    </row>
    <row r="38" spans="1:13" x14ac:dyDescent="0.2">
      <c r="A38" s="281"/>
      <c r="B38" s="288"/>
      <c r="C38" s="282" t="s">
        <v>427</v>
      </c>
      <c r="D38" s="546"/>
      <c r="E38" s="546"/>
      <c r="F38" s="546"/>
      <c r="G38" s="546"/>
      <c r="H38" s="546"/>
      <c r="I38" s="546"/>
      <c r="J38" s="544">
        <f t="shared" si="5"/>
        <v>0</v>
      </c>
      <c r="K38" s="285">
        <v>5</v>
      </c>
      <c r="L38" s="544">
        <f>J38*K38</f>
        <v>0</v>
      </c>
      <c r="M38" s="47" t="s">
        <v>589</v>
      </c>
    </row>
    <row r="39" spans="1:13" x14ac:dyDescent="0.2">
      <c r="A39" s="281"/>
      <c r="B39" s="288"/>
      <c r="C39" s="282"/>
      <c r="D39" s="546"/>
      <c r="E39" s="546"/>
      <c r="F39" s="546"/>
      <c r="G39" s="546"/>
      <c r="H39" s="546"/>
      <c r="I39" s="546"/>
      <c r="J39" s="544"/>
      <c r="K39" s="285"/>
      <c r="L39" s="544"/>
      <c r="M39" s="47"/>
    </row>
    <row r="40" spans="1:13" x14ac:dyDescent="0.2">
      <c r="A40" s="301" t="s">
        <v>68</v>
      </c>
      <c r="B40" s="288"/>
      <c r="C40" s="282"/>
      <c r="D40" s="546"/>
      <c r="E40" s="546"/>
      <c r="F40" s="546"/>
      <c r="G40" s="546"/>
      <c r="H40" s="546"/>
      <c r="I40" s="546"/>
      <c r="J40" s="544"/>
      <c r="K40" s="285"/>
      <c r="L40" s="544"/>
      <c r="M40" s="47"/>
    </row>
    <row r="41" spans="1:13" x14ac:dyDescent="0.2">
      <c r="A41" s="281">
        <v>15</v>
      </c>
      <c r="B41" s="295" t="s">
        <v>400</v>
      </c>
      <c r="C41" s="45"/>
      <c r="D41" s="544"/>
      <c r="E41" s="544"/>
      <c r="F41" s="544"/>
      <c r="G41" s="544"/>
      <c r="H41" s="544"/>
      <c r="I41" s="544"/>
      <c r="J41" s="544">
        <f t="shared" ref="J41:J80" si="6">((G41+H41+I41)-(D41+E41+F41))</f>
        <v>0</v>
      </c>
      <c r="K41" s="285">
        <v>1</v>
      </c>
      <c r="L41" s="544">
        <f>J41*K41</f>
        <v>0</v>
      </c>
      <c r="M41" s="47"/>
    </row>
    <row r="42" spans="1:13" x14ac:dyDescent="0.2">
      <c r="A42" s="281">
        <v>16</v>
      </c>
      <c r="B42" s="295" t="s">
        <v>401</v>
      </c>
      <c r="C42" s="45"/>
      <c r="D42" s="544"/>
      <c r="E42" s="544"/>
      <c r="F42" s="544"/>
      <c r="G42" s="544"/>
      <c r="H42" s="544"/>
      <c r="I42" s="544"/>
      <c r="J42" s="544">
        <f t="shared" si="6"/>
        <v>0</v>
      </c>
      <c r="K42" s="285">
        <v>1</v>
      </c>
      <c r="L42" s="544">
        <f t="shared" si="2"/>
        <v>0</v>
      </c>
      <c r="M42" s="47"/>
    </row>
    <row r="43" spans="1:13" x14ac:dyDescent="0.2">
      <c r="A43" s="281">
        <v>17</v>
      </c>
      <c r="B43" s="295" t="s">
        <v>402</v>
      </c>
      <c r="C43" s="45"/>
      <c r="D43" s="544"/>
      <c r="E43" s="544"/>
      <c r="F43" s="544"/>
      <c r="G43" s="544"/>
      <c r="H43" s="544"/>
      <c r="I43" s="544"/>
      <c r="J43" s="544">
        <f t="shared" si="6"/>
        <v>0</v>
      </c>
      <c r="K43" s="285">
        <v>1</v>
      </c>
      <c r="L43" s="544">
        <f t="shared" si="2"/>
        <v>0</v>
      </c>
      <c r="M43" s="47"/>
    </row>
    <row r="44" spans="1:13" x14ac:dyDescent="0.2">
      <c r="A44" s="281">
        <v>18</v>
      </c>
      <c r="B44" s="295" t="s">
        <v>403</v>
      </c>
      <c r="C44" s="45"/>
      <c r="D44" s="544"/>
      <c r="E44" s="544"/>
      <c r="F44" s="544"/>
      <c r="G44" s="544"/>
      <c r="H44" s="544"/>
      <c r="I44" s="544"/>
      <c r="J44" s="544">
        <f t="shared" si="6"/>
        <v>0</v>
      </c>
      <c r="K44" s="285">
        <v>1</v>
      </c>
      <c r="L44" s="544">
        <f t="shared" si="2"/>
        <v>0</v>
      </c>
      <c r="M44" s="47"/>
    </row>
    <row r="45" spans="1:13" x14ac:dyDescent="0.2">
      <c r="A45" s="281">
        <v>19</v>
      </c>
      <c r="B45" s="295" t="s">
        <v>404</v>
      </c>
      <c r="C45" s="45"/>
      <c r="D45" s="544"/>
      <c r="E45" s="544"/>
      <c r="F45" s="544"/>
      <c r="G45" s="544"/>
      <c r="H45" s="544"/>
      <c r="I45" s="544"/>
      <c r="J45" s="544">
        <f t="shared" si="6"/>
        <v>0</v>
      </c>
      <c r="K45" s="285">
        <v>1</v>
      </c>
      <c r="L45" s="544">
        <f t="shared" si="2"/>
        <v>0</v>
      </c>
      <c r="M45" s="47"/>
    </row>
    <row r="46" spans="1:13" x14ac:dyDescent="0.2">
      <c r="A46" s="281">
        <v>20</v>
      </c>
      <c r="B46" s="295" t="s">
        <v>405</v>
      </c>
      <c r="C46" s="45"/>
      <c r="D46" s="544"/>
      <c r="E46" s="544"/>
      <c r="F46" s="544"/>
      <c r="G46" s="544"/>
      <c r="H46" s="544"/>
      <c r="I46" s="544"/>
      <c r="J46" s="544">
        <f t="shared" si="6"/>
        <v>0</v>
      </c>
      <c r="K46" s="285">
        <v>1</v>
      </c>
      <c r="L46" s="544">
        <f t="shared" si="2"/>
        <v>0</v>
      </c>
      <c r="M46" s="47"/>
    </row>
    <row r="47" spans="1:13" x14ac:dyDescent="0.2">
      <c r="A47" s="281">
        <v>21</v>
      </c>
      <c r="B47" s="295" t="s">
        <v>406</v>
      </c>
      <c r="C47" s="45"/>
      <c r="D47" s="544"/>
      <c r="E47" s="544"/>
      <c r="F47" s="544"/>
      <c r="G47" s="544"/>
      <c r="H47" s="544"/>
      <c r="I47" s="544"/>
      <c r="J47" s="544">
        <f t="shared" si="6"/>
        <v>0</v>
      </c>
      <c r="K47" s="285">
        <v>1</v>
      </c>
      <c r="L47" s="544">
        <f t="shared" si="2"/>
        <v>0</v>
      </c>
      <c r="M47" s="47"/>
    </row>
    <row r="48" spans="1:13" x14ac:dyDescent="0.2">
      <c r="A48" s="281">
        <v>22</v>
      </c>
      <c r="B48" s="295" t="s">
        <v>407</v>
      </c>
      <c r="C48" s="45"/>
      <c r="D48" s="544"/>
      <c r="E48" s="544"/>
      <c r="F48" s="544"/>
      <c r="G48" s="544"/>
      <c r="H48" s="544"/>
      <c r="I48" s="544"/>
      <c r="J48" s="544">
        <f t="shared" si="6"/>
        <v>0</v>
      </c>
      <c r="K48" s="285">
        <v>1</v>
      </c>
      <c r="L48" s="544">
        <f t="shared" si="2"/>
        <v>0</v>
      </c>
      <c r="M48" s="47"/>
    </row>
    <row r="49" spans="1:13" x14ac:dyDescent="0.2">
      <c r="A49" s="281">
        <v>23</v>
      </c>
      <c r="B49" s="295" t="s">
        <v>408</v>
      </c>
      <c r="C49" s="45"/>
      <c r="D49" s="544"/>
      <c r="E49" s="544"/>
      <c r="F49" s="544"/>
      <c r="G49" s="544"/>
      <c r="H49" s="544"/>
      <c r="I49" s="544"/>
      <c r="J49" s="544">
        <f t="shared" si="6"/>
        <v>0</v>
      </c>
      <c r="K49" s="285">
        <v>1</v>
      </c>
      <c r="L49" s="544">
        <f t="shared" si="2"/>
        <v>0</v>
      </c>
      <c r="M49" s="47"/>
    </row>
    <row r="50" spans="1:13" x14ac:dyDescent="0.2">
      <c r="A50" s="281">
        <v>24</v>
      </c>
      <c r="B50" s="295" t="s">
        <v>409</v>
      </c>
      <c r="C50" s="45"/>
      <c r="D50" s="544"/>
      <c r="E50" s="544"/>
      <c r="F50" s="544"/>
      <c r="G50" s="544"/>
      <c r="H50" s="544"/>
      <c r="I50" s="544"/>
      <c r="J50" s="544">
        <f t="shared" si="6"/>
        <v>0</v>
      </c>
      <c r="K50" s="285">
        <v>1</v>
      </c>
      <c r="L50" s="544">
        <f t="shared" si="2"/>
        <v>0</v>
      </c>
      <c r="M50" s="47"/>
    </row>
    <row r="51" spans="1:13" x14ac:dyDescent="0.2">
      <c r="A51" s="281">
        <v>25</v>
      </c>
      <c r="B51" s="295" t="s">
        <v>410</v>
      </c>
      <c r="C51" s="45"/>
      <c r="D51" s="544"/>
      <c r="E51" s="544"/>
      <c r="F51" s="544"/>
      <c r="G51" s="544"/>
      <c r="H51" s="544"/>
      <c r="I51" s="544"/>
      <c r="J51" s="544">
        <f t="shared" si="6"/>
        <v>0</v>
      </c>
      <c r="K51" s="285">
        <v>1</v>
      </c>
      <c r="L51" s="544">
        <f t="shared" si="2"/>
        <v>0</v>
      </c>
      <c r="M51" s="47"/>
    </row>
    <row r="52" spans="1:13" x14ac:dyDescent="0.2">
      <c r="A52" s="281">
        <v>26</v>
      </c>
      <c r="B52" s="295" t="s">
        <v>411</v>
      </c>
      <c r="C52" s="45"/>
      <c r="D52" s="544"/>
      <c r="E52" s="544"/>
      <c r="F52" s="544"/>
      <c r="G52" s="544"/>
      <c r="H52" s="544"/>
      <c r="I52" s="544"/>
      <c r="J52" s="544">
        <f t="shared" si="6"/>
        <v>0</v>
      </c>
      <c r="K52" s="285">
        <v>1</v>
      </c>
      <c r="L52" s="544">
        <f t="shared" si="2"/>
        <v>0</v>
      </c>
      <c r="M52" s="47"/>
    </row>
    <row r="53" spans="1:13" x14ac:dyDescent="0.2">
      <c r="A53" s="281">
        <v>27</v>
      </c>
      <c r="B53" s="295" t="s">
        <v>412</v>
      </c>
      <c r="C53" s="45"/>
      <c r="D53" s="544"/>
      <c r="E53" s="544"/>
      <c r="F53" s="544"/>
      <c r="G53" s="544"/>
      <c r="H53" s="544"/>
      <c r="I53" s="544"/>
      <c r="J53" s="544">
        <f t="shared" si="6"/>
        <v>0</v>
      </c>
      <c r="K53" s="285">
        <v>1</v>
      </c>
      <c r="L53" s="544">
        <f t="shared" si="2"/>
        <v>0</v>
      </c>
      <c r="M53" s="47"/>
    </row>
    <row r="54" spans="1:13" x14ac:dyDescent="0.2">
      <c r="A54" s="281">
        <v>28</v>
      </c>
      <c r="B54" s="295" t="s">
        <v>4</v>
      </c>
      <c r="C54" s="45"/>
      <c r="D54" s="544"/>
      <c r="E54" s="544"/>
      <c r="F54" s="544"/>
      <c r="G54" s="544"/>
      <c r="H54" s="544"/>
      <c r="I54" s="544"/>
      <c r="J54" s="544">
        <f t="shared" si="6"/>
        <v>0</v>
      </c>
      <c r="K54" s="285">
        <v>1</v>
      </c>
      <c r="L54" s="544">
        <f t="shared" si="2"/>
        <v>0</v>
      </c>
      <c r="M54" s="47"/>
    </row>
    <row r="55" spans="1:13" x14ac:dyDescent="0.2">
      <c r="A55" s="281">
        <v>29</v>
      </c>
      <c r="B55" s="295" t="s">
        <v>413</v>
      </c>
      <c r="C55" s="45"/>
      <c r="D55" s="544"/>
      <c r="E55" s="544"/>
      <c r="F55" s="544"/>
      <c r="G55" s="544"/>
      <c r="H55" s="544"/>
      <c r="I55" s="544"/>
      <c r="J55" s="544">
        <f t="shared" si="6"/>
        <v>0</v>
      </c>
      <c r="K55" s="285">
        <v>1</v>
      </c>
      <c r="L55" s="544">
        <f t="shared" si="2"/>
        <v>0</v>
      </c>
      <c r="M55" s="47"/>
    </row>
    <row r="56" spans="1:13" x14ac:dyDescent="0.2">
      <c r="A56" s="281">
        <v>30</v>
      </c>
      <c r="B56" s="295" t="s">
        <v>414</v>
      </c>
      <c r="C56" s="45"/>
      <c r="D56" s="544"/>
      <c r="E56" s="544"/>
      <c r="F56" s="544"/>
      <c r="G56" s="544"/>
      <c r="H56" s="544"/>
      <c r="I56" s="544"/>
      <c r="J56" s="544">
        <f t="shared" si="6"/>
        <v>0</v>
      </c>
      <c r="K56" s="285">
        <v>1</v>
      </c>
      <c r="L56" s="544">
        <f t="shared" si="2"/>
        <v>0</v>
      </c>
      <c r="M56" s="47"/>
    </row>
    <row r="57" spans="1:13" x14ac:dyDescent="0.2">
      <c r="A57" s="281">
        <v>31</v>
      </c>
      <c r="B57" s="295" t="s">
        <v>415</v>
      </c>
      <c r="C57" s="45"/>
      <c r="D57" s="544"/>
      <c r="E57" s="544"/>
      <c r="F57" s="544"/>
      <c r="G57" s="544"/>
      <c r="H57" s="544"/>
      <c r="I57" s="544"/>
      <c r="J57" s="544">
        <f t="shared" si="6"/>
        <v>0</v>
      </c>
      <c r="K57" s="285">
        <v>1</v>
      </c>
      <c r="L57" s="544">
        <f t="shared" si="2"/>
        <v>0</v>
      </c>
      <c r="M57" s="47"/>
    </row>
    <row r="58" spans="1:13" x14ac:dyDescent="0.2">
      <c r="A58" s="281">
        <v>32</v>
      </c>
      <c r="B58" s="295" t="s">
        <v>416</v>
      </c>
      <c r="C58" s="45"/>
      <c r="D58" s="544"/>
      <c r="E58" s="544"/>
      <c r="F58" s="544"/>
      <c r="G58" s="544"/>
      <c r="H58" s="544"/>
      <c r="I58" s="544"/>
      <c r="J58" s="544">
        <f t="shared" si="6"/>
        <v>0</v>
      </c>
      <c r="K58" s="285">
        <v>1</v>
      </c>
      <c r="L58" s="544">
        <f t="shared" si="2"/>
        <v>0</v>
      </c>
      <c r="M58" s="47"/>
    </row>
    <row r="59" spans="1:13" x14ac:dyDescent="0.2">
      <c r="A59" s="281">
        <v>33</v>
      </c>
      <c r="B59" s="295" t="s">
        <v>417</v>
      </c>
      <c r="C59" s="45"/>
      <c r="D59" s="544"/>
      <c r="E59" s="544"/>
      <c r="F59" s="544"/>
      <c r="G59" s="544"/>
      <c r="H59" s="544"/>
      <c r="I59" s="544"/>
      <c r="J59" s="544">
        <f t="shared" si="6"/>
        <v>0</v>
      </c>
      <c r="K59" s="285">
        <v>1</v>
      </c>
      <c r="L59" s="544">
        <f t="shared" si="2"/>
        <v>0</v>
      </c>
      <c r="M59" s="47"/>
    </row>
    <row r="60" spans="1:13" x14ac:dyDescent="0.2">
      <c r="A60" s="281">
        <v>34</v>
      </c>
      <c r="B60" s="295" t="s">
        <v>418</v>
      </c>
      <c r="C60" s="45"/>
      <c r="D60" s="544"/>
      <c r="E60" s="544"/>
      <c r="F60" s="544"/>
      <c r="G60" s="544"/>
      <c r="H60" s="544"/>
      <c r="I60" s="544"/>
      <c r="J60" s="544">
        <f t="shared" si="6"/>
        <v>0</v>
      </c>
      <c r="K60" s="285">
        <v>1</v>
      </c>
      <c r="L60" s="544">
        <f t="shared" si="2"/>
        <v>0</v>
      </c>
      <c r="M60" s="47"/>
    </row>
    <row r="61" spans="1:13" x14ac:dyDescent="0.2">
      <c r="A61" s="281">
        <v>35</v>
      </c>
      <c r="B61" s="295" t="s">
        <v>419</v>
      </c>
      <c r="C61" s="45"/>
      <c r="D61" s="544"/>
      <c r="E61" s="544"/>
      <c r="F61" s="544"/>
      <c r="G61" s="544"/>
      <c r="H61" s="544"/>
      <c r="I61" s="544"/>
      <c r="J61" s="544">
        <f t="shared" si="6"/>
        <v>0</v>
      </c>
      <c r="K61" s="285">
        <v>1</v>
      </c>
      <c r="L61" s="544">
        <f t="shared" si="2"/>
        <v>0</v>
      </c>
      <c r="M61" s="47"/>
    </row>
    <row r="62" spans="1:13" x14ac:dyDescent="0.2">
      <c r="A62" s="281">
        <v>36</v>
      </c>
      <c r="B62" s="295" t="s">
        <v>420</v>
      </c>
      <c r="C62" s="45"/>
      <c r="D62" s="544"/>
      <c r="E62" s="544"/>
      <c r="F62" s="544"/>
      <c r="G62" s="544"/>
      <c r="H62" s="544"/>
      <c r="I62" s="544"/>
      <c r="J62" s="544">
        <f t="shared" si="6"/>
        <v>0</v>
      </c>
      <c r="K62" s="285">
        <v>1</v>
      </c>
      <c r="L62" s="544">
        <f t="shared" si="2"/>
        <v>0</v>
      </c>
      <c r="M62" s="47"/>
    </row>
    <row r="63" spans="1:13" x14ac:dyDescent="0.2">
      <c r="A63" s="281">
        <v>37</v>
      </c>
      <c r="B63" s="295" t="s">
        <v>421</v>
      </c>
      <c r="C63" s="45"/>
      <c r="D63" s="544"/>
      <c r="E63" s="544"/>
      <c r="F63" s="544"/>
      <c r="G63" s="544"/>
      <c r="H63" s="544"/>
      <c r="I63" s="544"/>
      <c r="J63" s="544">
        <f t="shared" si="6"/>
        <v>0</v>
      </c>
      <c r="K63" s="285">
        <v>1</v>
      </c>
      <c r="L63" s="544">
        <f t="shared" si="2"/>
        <v>0</v>
      </c>
      <c r="M63" s="47"/>
    </row>
    <row r="64" spans="1:13" x14ac:dyDescent="0.2">
      <c r="A64" s="281">
        <v>38</v>
      </c>
      <c r="B64" s="295" t="s">
        <v>422</v>
      </c>
      <c r="C64" s="45"/>
      <c r="D64" s="544"/>
      <c r="E64" s="544"/>
      <c r="F64" s="544"/>
      <c r="G64" s="544"/>
      <c r="H64" s="544"/>
      <c r="I64" s="544"/>
      <c r="J64" s="544">
        <f t="shared" si="6"/>
        <v>0</v>
      </c>
      <c r="K64" s="285">
        <v>1</v>
      </c>
      <c r="L64" s="544">
        <f t="shared" si="2"/>
        <v>0</v>
      </c>
      <c r="M64" s="47"/>
    </row>
    <row r="65" spans="1:13" x14ac:dyDescent="0.2">
      <c r="A65" s="281">
        <v>39</v>
      </c>
      <c r="B65" s="295" t="s">
        <v>423</v>
      </c>
      <c r="C65" s="45"/>
      <c r="D65" s="544"/>
      <c r="E65" s="544"/>
      <c r="F65" s="544"/>
      <c r="G65" s="544"/>
      <c r="H65" s="544"/>
      <c r="I65" s="544"/>
      <c r="J65" s="544">
        <f t="shared" si="6"/>
        <v>0</v>
      </c>
      <c r="K65" s="285">
        <v>1</v>
      </c>
      <c r="L65" s="544">
        <f t="shared" si="2"/>
        <v>0</v>
      </c>
      <c r="M65" s="47"/>
    </row>
    <row r="66" spans="1:13" x14ac:dyDescent="0.2">
      <c r="A66" s="281">
        <v>40</v>
      </c>
      <c r="B66" s="295" t="s">
        <v>5</v>
      </c>
      <c r="C66" s="45"/>
      <c r="D66" s="544"/>
      <c r="E66" s="544"/>
      <c r="F66" s="544"/>
      <c r="G66" s="544"/>
      <c r="H66" s="544"/>
      <c r="I66" s="544"/>
      <c r="J66" s="544">
        <f t="shared" si="6"/>
        <v>0</v>
      </c>
      <c r="K66" s="285">
        <v>1</v>
      </c>
      <c r="L66" s="544">
        <f t="shared" si="2"/>
        <v>0</v>
      </c>
      <c r="M66" s="47"/>
    </row>
    <row r="67" spans="1:13" x14ac:dyDescent="0.2">
      <c r="A67" s="281">
        <v>41</v>
      </c>
      <c r="B67" s="295" t="s">
        <v>6</v>
      </c>
      <c r="C67" s="45"/>
      <c r="D67" s="544"/>
      <c r="E67" s="544"/>
      <c r="F67" s="544"/>
      <c r="G67" s="544"/>
      <c r="H67" s="544"/>
      <c r="I67" s="544"/>
      <c r="J67" s="544">
        <f t="shared" si="6"/>
        <v>0</v>
      </c>
      <c r="K67" s="285">
        <v>1</v>
      </c>
      <c r="L67" s="544">
        <f t="shared" si="2"/>
        <v>0</v>
      </c>
      <c r="M67" s="47"/>
    </row>
    <row r="68" spans="1:13" x14ac:dyDescent="0.2">
      <c r="A68" s="281">
        <v>42</v>
      </c>
      <c r="B68" s="295" t="s">
        <v>7</v>
      </c>
      <c r="C68" s="45"/>
      <c r="D68" s="544"/>
      <c r="E68" s="544"/>
      <c r="F68" s="544"/>
      <c r="G68" s="544"/>
      <c r="H68" s="544"/>
      <c r="I68" s="544"/>
      <c r="J68" s="544">
        <f t="shared" si="6"/>
        <v>0</v>
      </c>
      <c r="K68" s="285">
        <v>1</v>
      </c>
      <c r="L68" s="544">
        <f t="shared" si="2"/>
        <v>0</v>
      </c>
      <c r="M68" s="47"/>
    </row>
    <row r="69" spans="1:13" x14ac:dyDescent="0.2">
      <c r="A69" s="281">
        <v>43</v>
      </c>
      <c r="B69" s="295" t="s">
        <v>424</v>
      </c>
      <c r="C69" s="45"/>
      <c r="D69" s="544"/>
      <c r="E69" s="544"/>
      <c r="F69" s="544"/>
      <c r="G69" s="544"/>
      <c r="H69" s="544"/>
      <c r="I69" s="544"/>
      <c r="J69" s="544">
        <f t="shared" si="6"/>
        <v>0</v>
      </c>
      <c r="K69" s="285">
        <v>1</v>
      </c>
      <c r="L69" s="544">
        <f t="shared" si="2"/>
        <v>0</v>
      </c>
      <c r="M69" s="47"/>
    </row>
    <row r="70" spans="1:13" x14ac:dyDescent="0.2">
      <c r="A70" s="281">
        <v>44</v>
      </c>
      <c r="B70" s="310" t="s">
        <v>8</v>
      </c>
      <c r="C70" s="45"/>
      <c r="D70" s="544"/>
      <c r="E70" s="544"/>
      <c r="F70" s="544"/>
      <c r="G70" s="544"/>
      <c r="H70" s="544"/>
      <c r="I70" s="544"/>
      <c r="J70" s="544">
        <f t="shared" si="6"/>
        <v>0</v>
      </c>
      <c r="K70" s="285">
        <v>1</v>
      </c>
      <c r="L70" s="544">
        <f t="shared" si="2"/>
        <v>0</v>
      </c>
      <c r="M70" s="47"/>
    </row>
    <row r="71" spans="1:13" x14ac:dyDescent="0.2">
      <c r="A71" s="281">
        <v>45</v>
      </c>
      <c r="B71" s="295" t="s">
        <v>9</v>
      </c>
      <c r="C71" s="45"/>
      <c r="D71" s="544"/>
      <c r="E71" s="544"/>
      <c r="F71" s="544"/>
      <c r="G71" s="544"/>
      <c r="H71" s="544"/>
      <c r="I71" s="544"/>
      <c r="J71" s="544">
        <f t="shared" si="6"/>
        <v>0</v>
      </c>
      <c r="K71" s="285">
        <v>1</v>
      </c>
      <c r="L71" s="544">
        <f t="shared" si="2"/>
        <v>0</v>
      </c>
      <c r="M71" s="47"/>
    </row>
    <row r="72" spans="1:13" x14ac:dyDescent="0.2">
      <c r="A72" s="281">
        <v>46</v>
      </c>
      <c r="B72" s="295" t="s">
        <v>10</v>
      </c>
      <c r="C72" s="45"/>
      <c r="D72" s="544"/>
      <c r="E72" s="544"/>
      <c r="F72" s="544"/>
      <c r="G72" s="544"/>
      <c r="H72" s="544"/>
      <c r="I72" s="544"/>
      <c r="J72" s="544">
        <f t="shared" si="6"/>
        <v>0</v>
      </c>
      <c r="K72" s="285">
        <v>1</v>
      </c>
      <c r="L72" s="544">
        <f t="shared" si="2"/>
        <v>0</v>
      </c>
      <c r="M72" s="47"/>
    </row>
    <row r="73" spans="1:13" x14ac:dyDescent="0.2">
      <c r="A73" s="281">
        <v>47</v>
      </c>
      <c r="B73" s="295" t="s">
        <v>11</v>
      </c>
      <c r="C73" s="45"/>
      <c r="D73" s="544"/>
      <c r="E73" s="544"/>
      <c r="F73" s="544"/>
      <c r="G73" s="544"/>
      <c r="H73" s="544"/>
      <c r="I73" s="544"/>
      <c r="J73" s="544">
        <f t="shared" si="6"/>
        <v>0</v>
      </c>
      <c r="K73" s="285">
        <v>1</v>
      </c>
      <c r="L73" s="544">
        <f t="shared" si="2"/>
        <v>0</v>
      </c>
      <c r="M73" s="47"/>
    </row>
    <row r="74" spans="1:13" x14ac:dyDescent="0.2">
      <c r="A74" s="281">
        <v>48</v>
      </c>
      <c r="B74" s="295" t="s">
        <v>12</v>
      </c>
      <c r="C74" s="45"/>
      <c r="D74" s="544"/>
      <c r="E74" s="544"/>
      <c r="F74" s="544"/>
      <c r="G74" s="544"/>
      <c r="H74" s="544"/>
      <c r="I74" s="544"/>
      <c r="J74" s="544">
        <f t="shared" si="6"/>
        <v>0</v>
      </c>
      <c r="K74" s="285">
        <v>1</v>
      </c>
      <c r="L74" s="544">
        <f t="shared" si="2"/>
        <v>0</v>
      </c>
      <c r="M74" s="47"/>
    </row>
    <row r="75" spans="1:13" x14ac:dyDescent="0.2">
      <c r="A75" s="281">
        <v>49</v>
      </c>
      <c r="B75" s="295" t="s">
        <v>13</v>
      </c>
      <c r="C75" s="45"/>
      <c r="D75" s="544"/>
      <c r="E75" s="544"/>
      <c r="F75" s="544"/>
      <c r="G75" s="544"/>
      <c r="H75" s="544"/>
      <c r="I75" s="544"/>
      <c r="J75" s="544">
        <f t="shared" si="6"/>
        <v>0</v>
      </c>
      <c r="K75" s="285">
        <v>1</v>
      </c>
      <c r="L75" s="544">
        <f t="shared" si="2"/>
        <v>0</v>
      </c>
      <c r="M75" s="47"/>
    </row>
    <row r="76" spans="1:13" x14ac:dyDescent="0.2">
      <c r="A76" s="281">
        <v>50</v>
      </c>
      <c r="B76" s="295" t="s">
        <v>14</v>
      </c>
      <c r="C76" s="45"/>
      <c r="D76" s="544"/>
      <c r="E76" s="544"/>
      <c r="F76" s="544"/>
      <c r="G76" s="544"/>
      <c r="H76" s="544"/>
      <c r="I76" s="544"/>
      <c r="J76" s="544">
        <f t="shared" si="6"/>
        <v>0</v>
      </c>
      <c r="K76" s="285">
        <v>1</v>
      </c>
      <c r="L76" s="544">
        <f t="shared" si="2"/>
        <v>0</v>
      </c>
      <c r="M76" s="47"/>
    </row>
    <row r="77" spans="1:13" x14ac:dyDescent="0.2">
      <c r="A77" s="281">
        <v>51</v>
      </c>
      <c r="B77" s="295" t="s">
        <v>15</v>
      </c>
      <c r="C77" s="45"/>
      <c r="D77" s="544"/>
      <c r="E77" s="544"/>
      <c r="F77" s="544"/>
      <c r="G77" s="544"/>
      <c r="H77" s="544"/>
      <c r="I77" s="544"/>
      <c r="J77" s="544">
        <f t="shared" si="6"/>
        <v>0</v>
      </c>
      <c r="K77" s="285">
        <v>1</v>
      </c>
      <c r="L77" s="544">
        <f t="shared" si="2"/>
        <v>0</v>
      </c>
      <c r="M77" s="47"/>
    </row>
    <row r="78" spans="1:13" x14ac:dyDescent="0.2">
      <c r="A78" s="281">
        <v>52</v>
      </c>
      <c r="B78" s="311" t="s">
        <v>16</v>
      </c>
      <c r="C78" s="45"/>
      <c r="D78" s="544"/>
      <c r="E78" s="544"/>
      <c r="F78" s="544"/>
      <c r="G78" s="544"/>
      <c r="H78" s="544"/>
      <c r="I78" s="544"/>
      <c r="J78" s="544">
        <f t="shared" si="6"/>
        <v>0</v>
      </c>
      <c r="K78" s="285">
        <v>1</v>
      </c>
      <c r="L78" s="544">
        <f t="shared" si="2"/>
        <v>0</v>
      </c>
      <c r="M78" s="47"/>
    </row>
    <row r="79" spans="1:13" x14ac:dyDescent="0.2">
      <c r="A79" s="281">
        <v>53</v>
      </c>
      <c r="B79" s="311" t="s">
        <v>17</v>
      </c>
      <c r="C79" s="45"/>
      <c r="D79" s="544"/>
      <c r="E79" s="544"/>
      <c r="F79" s="544"/>
      <c r="G79" s="544"/>
      <c r="H79" s="544"/>
      <c r="I79" s="544"/>
      <c r="J79" s="544">
        <f t="shared" si="6"/>
        <v>0</v>
      </c>
      <c r="K79" s="285">
        <v>1</v>
      </c>
      <c r="L79" s="544">
        <f t="shared" si="2"/>
        <v>0</v>
      </c>
      <c r="M79" s="47"/>
    </row>
    <row r="80" spans="1:13" x14ac:dyDescent="0.2">
      <c r="A80" s="281">
        <v>54</v>
      </c>
      <c r="B80" s="295" t="s">
        <v>18</v>
      </c>
      <c r="C80" s="45"/>
      <c r="D80" s="544"/>
      <c r="E80" s="544"/>
      <c r="F80" s="544"/>
      <c r="G80" s="544"/>
      <c r="H80" s="544"/>
      <c r="I80" s="544"/>
      <c r="J80" s="544">
        <f t="shared" si="6"/>
        <v>0</v>
      </c>
      <c r="K80" s="285">
        <v>1</v>
      </c>
      <c r="L80" s="544">
        <f t="shared" si="2"/>
        <v>0</v>
      </c>
      <c r="M80" s="47"/>
    </row>
    <row r="81" spans="1:13" x14ac:dyDescent="0.2">
      <c r="A81" s="281"/>
      <c r="B81" s="288"/>
      <c r="C81" s="293"/>
      <c r="D81" s="560"/>
      <c r="E81" s="560"/>
      <c r="F81" s="560"/>
      <c r="G81" s="560"/>
      <c r="H81" s="560"/>
      <c r="I81" s="560"/>
      <c r="J81" s="544"/>
      <c r="K81" s="285"/>
      <c r="L81" s="544"/>
      <c r="M81" s="47"/>
    </row>
    <row r="82" spans="1:13" x14ac:dyDescent="0.2">
      <c r="A82" s="302" t="s">
        <v>19</v>
      </c>
      <c r="B82" s="295"/>
      <c r="C82" s="282"/>
      <c r="D82" s="546"/>
      <c r="E82" s="546"/>
      <c r="F82" s="546"/>
      <c r="G82" s="546"/>
      <c r="H82" s="546"/>
      <c r="I82" s="546"/>
      <c r="J82" s="544"/>
      <c r="K82" s="285"/>
      <c r="L82" s="544"/>
      <c r="M82" s="47"/>
    </row>
    <row r="83" spans="1:13" x14ac:dyDescent="0.2">
      <c r="A83" s="281">
        <v>55</v>
      </c>
      <c r="B83" s="288" t="s">
        <v>451</v>
      </c>
      <c r="C83" s="45"/>
      <c r="D83" s="544"/>
      <c r="E83" s="544"/>
      <c r="F83" s="544"/>
      <c r="G83" s="544"/>
      <c r="H83" s="544"/>
      <c r="I83" s="544"/>
      <c r="J83" s="544">
        <f t="shared" ref="J83:J115" si="7">((G83+H83+I83)-(D83+E83+F83))</f>
        <v>0</v>
      </c>
      <c r="K83" s="285">
        <v>1</v>
      </c>
      <c r="L83" s="544">
        <f t="shared" si="2"/>
        <v>0</v>
      </c>
      <c r="M83" s="47"/>
    </row>
    <row r="84" spans="1:13" x14ac:dyDescent="0.2">
      <c r="A84" s="281">
        <v>56</v>
      </c>
      <c r="B84" s="295" t="s">
        <v>467</v>
      </c>
      <c r="C84" s="45"/>
      <c r="D84" s="544"/>
      <c r="E84" s="544"/>
      <c r="F84" s="544"/>
      <c r="G84" s="544"/>
      <c r="H84" s="544"/>
      <c r="I84" s="544"/>
      <c r="J84" s="544">
        <f t="shared" ref="J84:J85" si="8">((G84+H84+I84)-(D84+E84+F84))</f>
        <v>0</v>
      </c>
      <c r="K84" s="285">
        <v>1</v>
      </c>
      <c r="L84" s="544">
        <f t="shared" si="2"/>
        <v>0</v>
      </c>
      <c r="M84" s="47"/>
    </row>
    <row r="85" spans="1:13" x14ac:dyDescent="0.2">
      <c r="A85" s="281">
        <v>57</v>
      </c>
      <c r="B85" s="295" t="s">
        <v>27</v>
      </c>
      <c r="C85" s="45"/>
      <c r="D85" s="544"/>
      <c r="E85" s="544"/>
      <c r="F85" s="544"/>
      <c r="G85" s="544"/>
      <c r="H85" s="544"/>
      <c r="I85" s="544"/>
      <c r="J85" s="544">
        <f t="shared" si="8"/>
        <v>0</v>
      </c>
      <c r="K85" s="285">
        <v>1</v>
      </c>
      <c r="L85" s="544">
        <f t="shared" si="2"/>
        <v>0</v>
      </c>
      <c r="M85" s="47"/>
    </row>
    <row r="86" spans="1:13" x14ac:dyDescent="0.2">
      <c r="A86" s="281">
        <v>58</v>
      </c>
      <c r="B86" s="295" t="s">
        <v>452</v>
      </c>
      <c r="C86" s="45"/>
      <c r="D86" s="544"/>
      <c r="E86" s="544"/>
      <c r="F86" s="544"/>
      <c r="G86" s="544"/>
      <c r="H86" s="544"/>
      <c r="I86" s="544"/>
      <c r="J86" s="544">
        <f t="shared" si="7"/>
        <v>0</v>
      </c>
      <c r="K86" s="285">
        <v>1</v>
      </c>
      <c r="L86" s="544">
        <f t="shared" si="2"/>
        <v>0</v>
      </c>
      <c r="M86" s="47"/>
    </row>
    <row r="87" spans="1:13" x14ac:dyDescent="0.2">
      <c r="A87" s="281">
        <v>59</v>
      </c>
      <c r="B87" s="288" t="s">
        <v>453</v>
      </c>
      <c r="C87" s="45"/>
      <c r="D87" s="544"/>
      <c r="E87" s="544"/>
      <c r="F87" s="544"/>
      <c r="G87" s="544"/>
      <c r="H87" s="544"/>
      <c r="I87" s="544"/>
      <c r="J87" s="544">
        <f t="shared" si="7"/>
        <v>0</v>
      </c>
      <c r="K87" s="285">
        <v>1</v>
      </c>
      <c r="L87" s="544">
        <f t="shared" si="2"/>
        <v>0</v>
      </c>
      <c r="M87" s="47"/>
    </row>
    <row r="88" spans="1:13" x14ac:dyDescent="0.2">
      <c r="A88" s="281">
        <v>60</v>
      </c>
      <c r="B88" s="288" t="s">
        <v>454</v>
      </c>
      <c r="C88" s="45"/>
      <c r="D88" s="544"/>
      <c r="E88" s="544"/>
      <c r="F88" s="544"/>
      <c r="G88" s="544"/>
      <c r="H88" s="544"/>
      <c r="I88" s="544"/>
      <c r="J88" s="544">
        <f t="shared" si="7"/>
        <v>0</v>
      </c>
      <c r="K88" s="285">
        <v>1</v>
      </c>
      <c r="L88" s="544">
        <f t="shared" si="2"/>
        <v>0</v>
      </c>
      <c r="M88" s="47"/>
    </row>
    <row r="89" spans="1:13" x14ac:dyDescent="0.2">
      <c r="A89" s="281">
        <v>61</v>
      </c>
      <c r="B89" s="288" t="s">
        <v>455</v>
      </c>
      <c r="C89" s="45"/>
      <c r="D89" s="544"/>
      <c r="E89" s="544"/>
      <c r="F89" s="544"/>
      <c r="G89" s="544"/>
      <c r="H89" s="544"/>
      <c r="I89" s="544"/>
      <c r="J89" s="544">
        <f t="shared" si="7"/>
        <v>0</v>
      </c>
      <c r="K89" s="285">
        <v>1</v>
      </c>
      <c r="L89" s="544">
        <f t="shared" si="2"/>
        <v>0</v>
      </c>
      <c r="M89" s="47"/>
    </row>
    <row r="90" spans="1:13" x14ac:dyDescent="0.2">
      <c r="A90" s="281">
        <v>62</v>
      </c>
      <c r="B90" s="295" t="s">
        <v>456</v>
      </c>
      <c r="C90" s="45"/>
      <c r="D90" s="544"/>
      <c r="E90" s="544"/>
      <c r="F90" s="544"/>
      <c r="G90" s="544"/>
      <c r="H90" s="544"/>
      <c r="I90" s="544"/>
      <c r="J90" s="544">
        <f t="shared" si="7"/>
        <v>0</v>
      </c>
      <c r="K90" s="285">
        <v>1</v>
      </c>
      <c r="L90" s="544">
        <f t="shared" si="2"/>
        <v>0</v>
      </c>
      <c r="M90" s="47"/>
    </row>
    <row r="91" spans="1:13" x14ac:dyDescent="0.2">
      <c r="A91" s="281">
        <v>63</v>
      </c>
      <c r="B91" s="295" t="s">
        <v>457</v>
      </c>
      <c r="C91" s="45"/>
      <c r="D91" s="544"/>
      <c r="E91" s="544"/>
      <c r="F91" s="544"/>
      <c r="G91" s="544"/>
      <c r="H91" s="544"/>
      <c r="I91" s="544"/>
      <c r="J91" s="544">
        <f t="shared" si="7"/>
        <v>0</v>
      </c>
      <c r="K91" s="285">
        <v>1</v>
      </c>
      <c r="L91" s="544">
        <f t="shared" si="2"/>
        <v>0</v>
      </c>
      <c r="M91" s="47"/>
    </row>
    <row r="92" spans="1:13" x14ac:dyDescent="0.2">
      <c r="A92" s="281">
        <v>64</v>
      </c>
      <c r="B92" s="295" t="s">
        <v>458</v>
      </c>
      <c r="C92" s="45"/>
      <c r="D92" s="544"/>
      <c r="E92" s="544"/>
      <c r="F92" s="544"/>
      <c r="G92" s="544"/>
      <c r="H92" s="544"/>
      <c r="I92" s="544"/>
      <c r="J92" s="544">
        <f t="shared" si="7"/>
        <v>0</v>
      </c>
      <c r="K92" s="285">
        <v>1</v>
      </c>
      <c r="L92" s="544">
        <f t="shared" si="2"/>
        <v>0</v>
      </c>
      <c r="M92" s="47"/>
    </row>
    <row r="93" spans="1:13" x14ac:dyDescent="0.2">
      <c r="A93" s="281">
        <v>65</v>
      </c>
      <c r="B93" s="295" t="s">
        <v>632</v>
      </c>
      <c r="C93" s="45"/>
      <c r="D93" s="544"/>
      <c r="E93" s="544"/>
      <c r="F93" s="544"/>
      <c r="G93" s="544"/>
      <c r="H93" s="544"/>
      <c r="I93" s="544"/>
      <c r="J93" s="544">
        <f t="shared" si="7"/>
        <v>0</v>
      </c>
      <c r="K93" s="285">
        <v>1</v>
      </c>
      <c r="L93" s="544">
        <f t="shared" ref="L93:L154" si="9">J93*K93</f>
        <v>0</v>
      </c>
      <c r="M93" s="47"/>
    </row>
    <row r="94" spans="1:13" x14ac:dyDescent="0.2">
      <c r="A94" s="281">
        <v>66</v>
      </c>
      <c r="B94" s="295" t="s">
        <v>20</v>
      </c>
      <c r="C94" s="45"/>
      <c r="D94" s="544"/>
      <c r="E94" s="544"/>
      <c r="F94" s="544"/>
      <c r="G94" s="544"/>
      <c r="H94" s="544"/>
      <c r="I94" s="544"/>
      <c r="J94" s="544">
        <f t="shared" si="7"/>
        <v>0</v>
      </c>
      <c r="K94" s="285">
        <v>1</v>
      </c>
      <c r="L94" s="544">
        <f t="shared" si="9"/>
        <v>0</v>
      </c>
      <c r="M94" s="47"/>
    </row>
    <row r="95" spans="1:13" x14ac:dyDescent="0.2">
      <c r="A95" s="281">
        <v>67</v>
      </c>
      <c r="B95" s="295" t="s">
        <v>460</v>
      </c>
      <c r="C95" s="45"/>
      <c r="D95" s="544"/>
      <c r="E95" s="544"/>
      <c r="F95" s="544"/>
      <c r="G95" s="544"/>
      <c r="H95" s="544"/>
      <c r="I95" s="544"/>
      <c r="J95" s="544">
        <f t="shared" si="7"/>
        <v>0</v>
      </c>
      <c r="K95" s="285">
        <v>1</v>
      </c>
      <c r="L95" s="544">
        <f t="shared" si="9"/>
        <v>0</v>
      </c>
      <c r="M95" s="47"/>
    </row>
    <row r="96" spans="1:13" x14ac:dyDescent="0.2">
      <c r="A96" s="281">
        <v>68</v>
      </c>
      <c r="B96" s="291" t="s">
        <v>461</v>
      </c>
      <c r="C96" s="45"/>
      <c r="D96" s="544"/>
      <c r="E96" s="544"/>
      <c r="F96" s="544"/>
      <c r="G96" s="544"/>
      <c r="H96" s="544"/>
      <c r="I96" s="544"/>
      <c r="J96" s="544">
        <f t="shared" si="7"/>
        <v>0</v>
      </c>
      <c r="K96" s="285">
        <v>1</v>
      </c>
      <c r="L96" s="544">
        <f t="shared" si="9"/>
        <v>0</v>
      </c>
      <c r="M96" s="47"/>
    </row>
    <row r="97" spans="1:13" x14ac:dyDescent="0.2">
      <c r="A97" s="281">
        <v>69</v>
      </c>
      <c r="B97" s="295" t="s">
        <v>577</v>
      </c>
      <c r="C97" s="45"/>
      <c r="D97" s="544"/>
      <c r="E97" s="544"/>
      <c r="F97" s="544"/>
      <c r="G97" s="544"/>
      <c r="H97" s="544"/>
      <c r="I97" s="544"/>
      <c r="J97" s="544">
        <f t="shared" si="7"/>
        <v>0</v>
      </c>
      <c r="K97" s="285">
        <v>1</v>
      </c>
      <c r="L97" s="544">
        <f t="shared" si="9"/>
        <v>0</v>
      </c>
      <c r="M97" s="47"/>
    </row>
    <row r="98" spans="1:13" x14ac:dyDescent="0.2">
      <c r="A98" s="281">
        <v>70</v>
      </c>
      <c r="B98" s="295" t="s">
        <v>462</v>
      </c>
      <c r="C98" s="45"/>
      <c r="D98" s="544"/>
      <c r="E98" s="544"/>
      <c r="F98" s="544"/>
      <c r="G98" s="544"/>
      <c r="H98" s="544"/>
      <c r="I98" s="544"/>
      <c r="J98" s="544">
        <f t="shared" si="7"/>
        <v>0</v>
      </c>
      <c r="K98" s="285">
        <v>1</v>
      </c>
      <c r="L98" s="544">
        <f t="shared" si="9"/>
        <v>0</v>
      </c>
      <c r="M98" s="47"/>
    </row>
    <row r="99" spans="1:13" x14ac:dyDescent="0.2">
      <c r="A99" s="281">
        <v>71</v>
      </c>
      <c r="B99" s="295" t="s">
        <v>463</v>
      </c>
      <c r="C99" s="45"/>
      <c r="D99" s="544"/>
      <c r="E99" s="544"/>
      <c r="F99" s="544"/>
      <c r="G99" s="544"/>
      <c r="H99" s="544"/>
      <c r="I99" s="544"/>
      <c r="J99" s="544">
        <f t="shared" si="7"/>
        <v>0</v>
      </c>
      <c r="K99" s="285">
        <v>1</v>
      </c>
      <c r="L99" s="544">
        <f t="shared" si="9"/>
        <v>0</v>
      </c>
      <c r="M99" s="47"/>
    </row>
    <row r="100" spans="1:13" x14ac:dyDescent="0.2">
      <c r="A100" s="281">
        <v>72</v>
      </c>
      <c r="B100" s="295" t="s">
        <v>464</v>
      </c>
      <c r="C100" s="45"/>
      <c r="D100" s="544"/>
      <c r="E100" s="544"/>
      <c r="F100" s="544"/>
      <c r="G100" s="544"/>
      <c r="H100" s="544"/>
      <c r="I100" s="544"/>
      <c r="J100" s="544">
        <f t="shared" si="7"/>
        <v>0</v>
      </c>
      <c r="K100" s="285">
        <v>1</v>
      </c>
      <c r="L100" s="544">
        <f t="shared" si="9"/>
        <v>0</v>
      </c>
      <c r="M100" s="47"/>
    </row>
    <row r="101" spans="1:13" x14ac:dyDescent="0.2">
      <c r="A101" s="281">
        <v>73</v>
      </c>
      <c r="B101" s="295" t="s">
        <v>465</v>
      </c>
      <c r="C101" s="45"/>
      <c r="D101" s="544"/>
      <c r="E101" s="544"/>
      <c r="F101" s="544"/>
      <c r="G101" s="544"/>
      <c r="H101" s="544"/>
      <c r="I101" s="544"/>
      <c r="J101" s="544">
        <f t="shared" si="7"/>
        <v>0</v>
      </c>
      <c r="K101" s="285">
        <v>1</v>
      </c>
      <c r="L101" s="544">
        <f t="shared" si="9"/>
        <v>0</v>
      </c>
      <c r="M101" s="47"/>
    </row>
    <row r="102" spans="1:13" x14ac:dyDescent="0.2">
      <c r="A102" s="281">
        <v>74</v>
      </c>
      <c r="B102" s="295" t="s">
        <v>466</v>
      </c>
      <c r="C102" s="45"/>
      <c r="D102" s="544"/>
      <c r="E102" s="544"/>
      <c r="F102" s="544"/>
      <c r="G102" s="544"/>
      <c r="H102" s="544"/>
      <c r="I102" s="544"/>
      <c r="J102" s="544">
        <f t="shared" si="7"/>
        <v>0</v>
      </c>
      <c r="K102" s="285">
        <v>1</v>
      </c>
      <c r="L102" s="544">
        <f t="shared" si="9"/>
        <v>0</v>
      </c>
      <c r="M102" s="47"/>
    </row>
    <row r="103" spans="1:13" x14ac:dyDescent="0.2">
      <c r="A103" s="281">
        <v>75</v>
      </c>
      <c r="B103" s="295" t="s">
        <v>468</v>
      </c>
      <c r="C103" s="45"/>
      <c r="D103" s="544"/>
      <c r="E103" s="544"/>
      <c r="F103" s="544"/>
      <c r="G103" s="544"/>
      <c r="H103" s="544"/>
      <c r="I103" s="544"/>
      <c r="J103" s="544">
        <f t="shared" si="7"/>
        <v>0</v>
      </c>
      <c r="K103" s="285">
        <v>1</v>
      </c>
      <c r="L103" s="544">
        <f t="shared" si="9"/>
        <v>0</v>
      </c>
      <c r="M103" s="47"/>
    </row>
    <row r="104" spans="1:13" x14ac:dyDescent="0.2">
      <c r="A104" s="281">
        <v>76</v>
      </c>
      <c r="B104" s="295" t="s">
        <v>469</v>
      </c>
      <c r="C104" s="45"/>
      <c r="D104" s="544"/>
      <c r="E104" s="544"/>
      <c r="F104" s="544"/>
      <c r="G104" s="544"/>
      <c r="H104" s="544"/>
      <c r="I104" s="544"/>
      <c r="J104" s="544">
        <f t="shared" si="7"/>
        <v>0</v>
      </c>
      <c r="K104" s="285">
        <v>1</v>
      </c>
      <c r="L104" s="544">
        <f t="shared" si="9"/>
        <v>0</v>
      </c>
      <c r="M104" s="47"/>
    </row>
    <row r="105" spans="1:13" x14ac:dyDescent="0.2">
      <c r="A105" s="281">
        <v>77</v>
      </c>
      <c r="B105" s="295" t="s">
        <v>21</v>
      </c>
      <c r="C105" s="45"/>
      <c r="D105" s="544"/>
      <c r="E105" s="544"/>
      <c r="F105" s="544"/>
      <c r="G105" s="544"/>
      <c r="H105" s="544"/>
      <c r="I105" s="544"/>
      <c r="J105" s="544">
        <f t="shared" si="7"/>
        <v>0</v>
      </c>
      <c r="K105" s="285">
        <v>1</v>
      </c>
      <c r="L105" s="544">
        <f t="shared" si="9"/>
        <v>0</v>
      </c>
      <c r="M105" s="47"/>
    </row>
    <row r="106" spans="1:13" x14ac:dyDescent="0.2">
      <c r="A106" s="281">
        <v>78</v>
      </c>
      <c r="B106" s="295" t="s">
        <v>22</v>
      </c>
      <c r="C106" s="45"/>
      <c r="D106" s="544"/>
      <c r="E106" s="544"/>
      <c r="F106" s="544"/>
      <c r="G106" s="544"/>
      <c r="H106" s="544"/>
      <c r="I106" s="544"/>
      <c r="J106" s="544">
        <f t="shared" si="7"/>
        <v>0</v>
      </c>
      <c r="K106" s="285">
        <v>1</v>
      </c>
      <c r="L106" s="544">
        <f t="shared" si="9"/>
        <v>0</v>
      </c>
      <c r="M106" s="47"/>
    </row>
    <row r="107" spans="1:13" x14ac:dyDescent="0.2">
      <c r="A107" s="281">
        <v>79</v>
      </c>
      <c r="B107" s="295" t="s">
        <v>470</v>
      </c>
      <c r="C107" s="45"/>
      <c r="D107" s="544"/>
      <c r="E107" s="544"/>
      <c r="F107" s="544"/>
      <c r="G107" s="544"/>
      <c r="H107" s="544"/>
      <c r="I107" s="544"/>
      <c r="J107" s="544">
        <f t="shared" si="7"/>
        <v>0</v>
      </c>
      <c r="K107" s="285">
        <v>1</v>
      </c>
      <c r="L107" s="544">
        <f t="shared" si="9"/>
        <v>0</v>
      </c>
      <c r="M107" s="47"/>
    </row>
    <row r="108" spans="1:13" x14ac:dyDescent="0.2">
      <c r="A108" s="281">
        <v>80</v>
      </c>
      <c r="B108" s="295" t="s">
        <v>471</v>
      </c>
      <c r="C108" s="45"/>
      <c r="D108" s="544"/>
      <c r="E108" s="544"/>
      <c r="F108" s="544"/>
      <c r="G108" s="544"/>
      <c r="H108" s="544"/>
      <c r="I108" s="544"/>
      <c r="J108" s="544">
        <f t="shared" si="7"/>
        <v>0</v>
      </c>
      <c r="K108" s="285">
        <v>1</v>
      </c>
      <c r="L108" s="544">
        <f t="shared" si="9"/>
        <v>0</v>
      </c>
      <c r="M108" s="47"/>
    </row>
    <row r="109" spans="1:13" x14ac:dyDescent="0.2">
      <c r="A109" s="281">
        <v>81</v>
      </c>
      <c r="B109" s="295" t="s">
        <v>472</v>
      </c>
      <c r="C109" s="45"/>
      <c r="D109" s="544"/>
      <c r="E109" s="544"/>
      <c r="F109" s="544"/>
      <c r="G109" s="544"/>
      <c r="H109" s="544"/>
      <c r="I109" s="544"/>
      <c r="J109" s="544">
        <f t="shared" si="7"/>
        <v>0</v>
      </c>
      <c r="K109" s="285">
        <v>1</v>
      </c>
      <c r="L109" s="544">
        <f t="shared" si="9"/>
        <v>0</v>
      </c>
      <c r="M109" s="47"/>
    </row>
    <row r="110" spans="1:13" x14ac:dyDescent="0.2">
      <c r="A110" s="281">
        <v>82</v>
      </c>
      <c r="B110" s="295" t="s">
        <v>473</v>
      </c>
      <c r="C110" s="45"/>
      <c r="D110" s="544"/>
      <c r="E110" s="544"/>
      <c r="F110" s="544"/>
      <c r="G110" s="544"/>
      <c r="H110" s="544"/>
      <c r="I110" s="544"/>
      <c r="J110" s="544">
        <f t="shared" si="7"/>
        <v>0</v>
      </c>
      <c r="K110" s="285">
        <v>1</v>
      </c>
      <c r="L110" s="544">
        <f t="shared" si="9"/>
        <v>0</v>
      </c>
      <c r="M110" s="47"/>
    </row>
    <row r="111" spans="1:13" x14ac:dyDescent="0.2">
      <c r="A111" s="281">
        <v>83</v>
      </c>
      <c r="B111" s="295" t="s">
        <v>23</v>
      </c>
      <c r="C111" s="45"/>
      <c r="D111" s="544"/>
      <c r="E111" s="544"/>
      <c r="F111" s="544"/>
      <c r="G111" s="544"/>
      <c r="H111" s="544"/>
      <c r="I111" s="544"/>
      <c r="J111" s="544">
        <f t="shared" si="7"/>
        <v>0</v>
      </c>
      <c r="K111" s="285">
        <v>1</v>
      </c>
      <c r="L111" s="544">
        <f t="shared" si="9"/>
        <v>0</v>
      </c>
      <c r="M111" s="47"/>
    </row>
    <row r="112" spans="1:13" x14ac:dyDescent="0.2">
      <c r="A112" s="281">
        <v>84</v>
      </c>
      <c r="B112" s="295" t="s">
        <v>24</v>
      </c>
      <c r="C112" s="45"/>
      <c r="D112" s="544"/>
      <c r="E112" s="544"/>
      <c r="F112" s="544"/>
      <c r="G112" s="544"/>
      <c r="H112" s="544"/>
      <c r="I112" s="544"/>
      <c r="J112" s="544">
        <f t="shared" si="7"/>
        <v>0</v>
      </c>
      <c r="K112" s="285">
        <v>1</v>
      </c>
      <c r="L112" s="544">
        <f t="shared" si="9"/>
        <v>0</v>
      </c>
      <c r="M112" s="47"/>
    </row>
    <row r="113" spans="1:13" x14ac:dyDescent="0.2">
      <c r="A113" s="281">
        <v>85</v>
      </c>
      <c r="B113" s="295" t="s">
        <v>25</v>
      </c>
      <c r="C113" s="45"/>
      <c r="D113" s="544"/>
      <c r="E113" s="544"/>
      <c r="F113" s="544"/>
      <c r="G113" s="544"/>
      <c r="H113" s="544"/>
      <c r="I113" s="544"/>
      <c r="J113" s="544">
        <f t="shared" si="7"/>
        <v>0</v>
      </c>
      <c r="K113" s="285">
        <v>1</v>
      </c>
      <c r="L113" s="544">
        <f t="shared" si="9"/>
        <v>0</v>
      </c>
      <c r="M113" s="47"/>
    </row>
    <row r="114" spans="1:13" x14ac:dyDescent="0.2">
      <c r="A114" s="281">
        <v>86</v>
      </c>
      <c r="B114" s="295" t="s">
        <v>26</v>
      </c>
      <c r="C114" s="45"/>
      <c r="D114" s="544"/>
      <c r="E114" s="544"/>
      <c r="F114" s="544"/>
      <c r="G114" s="544"/>
      <c r="H114" s="544"/>
      <c r="I114" s="544"/>
      <c r="J114" s="544">
        <f t="shared" si="7"/>
        <v>0</v>
      </c>
      <c r="K114" s="285">
        <v>1</v>
      </c>
      <c r="L114" s="544">
        <f t="shared" si="9"/>
        <v>0</v>
      </c>
      <c r="M114" s="47"/>
    </row>
    <row r="115" spans="1:13" x14ac:dyDescent="0.2">
      <c r="A115" s="281">
        <v>87</v>
      </c>
      <c r="B115" s="288" t="s">
        <v>173</v>
      </c>
      <c r="C115" s="45"/>
      <c r="D115" s="544"/>
      <c r="E115" s="544"/>
      <c r="F115" s="544"/>
      <c r="G115" s="544"/>
      <c r="H115" s="544"/>
      <c r="I115" s="544"/>
      <c r="J115" s="544">
        <f t="shared" si="7"/>
        <v>0</v>
      </c>
      <c r="K115" s="285">
        <v>1</v>
      </c>
      <c r="L115" s="544">
        <f t="shared" si="9"/>
        <v>0</v>
      </c>
      <c r="M115" s="47"/>
    </row>
    <row r="116" spans="1:13" x14ac:dyDescent="0.2">
      <c r="A116" s="281"/>
      <c r="B116" s="288"/>
      <c r="C116" s="282"/>
      <c r="D116" s="546"/>
      <c r="E116" s="546"/>
      <c r="F116" s="546"/>
      <c r="G116" s="546"/>
      <c r="H116" s="546"/>
      <c r="I116" s="546"/>
      <c r="J116" s="544"/>
      <c r="K116" s="285"/>
      <c r="L116" s="544"/>
      <c r="M116" s="47"/>
    </row>
    <row r="117" spans="1:13" x14ac:dyDescent="0.2">
      <c r="A117" s="302" t="s">
        <v>116</v>
      </c>
      <c r="B117" s="295"/>
      <c r="C117" s="282"/>
      <c r="D117" s="546"/>
      <c r="E117" s="546"/>
      <c r="F117" s="546"/>
      <c r="G117" s="546"/>
      <c r="H117" s="546"/>
      <c r="I117" s="546"/>
      <c r="J117" s="544"/>
      <c r="K117" s="285"/>
      <c r="L117" s="544"/>
      <c r="M117" s="47"/>
    </row>
    <row r="118" spans="1:13" x14ac:dyDescent="0.2">
      <c r="A118" s="303">
        <v>88</v>
      </c>
      <c r="B118" s="288" t="s">
        <v>474</v>
      </c>
      <c r="C118" s="45"/>
      <c r="D118" s="544"/>
      <c r="E118" s="544"/>
      <c r="F118" s="544"/>
      <c r="G118" s="544"/>
      <c r="H118" s="544"/>
      <c r="I118" s="544"/>
      <c r="J118" s="544">
        <f>((G118+H118+I118)-(D118+E118+F118))</f>
        <v>0</v>
      </c>
      <c r="K118" s="285">
        <v>1</v>
      </c>
      <c r="L118" s="544">
        <f t="shared" si="9"/>
        <v>0</v>
      </c>
      <c r="M118" s="47" t="s">
        <v>322</v>
      </c>
    </row>
    <row r="119" spans="1:13" x14ac:dyDescent="0.2">
      <c r="A119" s="303">
        <v>89</v>
      </c>
      <c r="B119" s="288" t="s">
        <v>475</v>
      </c>
      <c r="C119" s="45"/>
      <c r="D119" s="544"/>
      <c r="E119" s="544"/>
      <c r="F119" s="544"/>
      <c r="G119" s="544"/>
      <c r="H119" s="544"/>
      <c r="I119" s="544"/>
      <c r="J119" s="544">
        <f t="shared" ref="J119:J128" si="10">((G119+H119+I119)-(D119+E119+F119))</f>
        <v>0</v>
      </c>
      <c r="K119" s="285">
        <v>1</v>
      </c>
      <c r="L119" s="544">
        <f t="shared" si="9"/>
        <v>0</v>
      </c>
      <c r="M119" s="47" t="s">
        <v>322</v>
      </c>
    </row>
    <row r="120" spans="1:13" x14ac:dyDescent="0.2">
      <c r="A120" s="303">
        <v>90</v>
      </c>
      <c r="B120" s="288" t="s">
        <v>476</v>
      </c>
      <c r="C120" s="45"/>
      <c r="D120" s="544"/>
      <c r="E120" s="544"/>
      <c r="F120" s="544"/>
      <c r="G120" s="544"/>
      <c r="H120" s="544"/>
      <c r="I120" s="544"/>
      <c r="J120" s="544">
        <f t="shared" si="10"/>
        <v>0</v>
      </c>
      <c r="K120" s="285">
        <v>1</v>
      </c>
      <c r="L120" s="544">
        <f t="shared" si="9"/>
        <v>0</v>
      </c>
      <c r="M120" s="47" t="s">
        <v>322</v>
      </c>
    </row>
    <row r="121" spans="1:13" x14ac:dyDescent="0.2">
      <c r="A121" s="303">
        <v>91</v>
      </c>
      <c r="B121" s="288" t="s">
        <v>477</v>
      </c>
      <c r="C121" s="45"/>
      <c r="D121" s="544"/>
      <c r="E121" s="544"/>
      <c r="F121" s="544"/>
      <c r="G121" s="544"/>
      <c r="H121" s="544"/>
      <c r="I121" s="544"/>
      <c r="J121" s="544">
        <f t="shared" si="10"/>
        <v>0</v>
      </c>
      <c r="K121" s="285">
        <v>1</v>
      </c>
      <c r="L121" s="544">
        <f t="shared" si="9"/>
        <v>0</v>
      </c>
      <c r="M121" s="47" t="s">
        <v>322</v>
      </c>
    </row>
    <row r="122" spans="1:13" x14ac:dyDescent="0.2">
      <c r="A122" s="303">
        <v>92</v>
      </c>
      <c r="B122" s="288" t="s">
        <v>478</v>
      </c>
      <c r="C122" s="45"/>
      <c r="D122" s="544"/>
      <c r="E122" s="544"/>
      <c r="F122" s="544"/>
      <c r="G122" s="544"/>
      <c r="H122" s="544"/>
      <c r="I122" s="544"/>
      <c r="J122" s="544">
        <f t="shared" si="10"/>
        <v>0</v>
      </c>
      <c r="K122" s="285">
        <v>1</v>
      </c>
      <c r="L122" s="544">
        <f t="shared" si="9"/>
        <v>0</v>
      </c>
      <c r="M122" s="47" t="s">
        <v>322</v>
      </c>
    </row>
    <row r="123" spans="1:13" x14ac:dyDescent="0.2">
      <c r="A123" s="303">
        <v>93</v>
      </c>
      <c r="B123" s="288" t="s">
        <v>479</v>
      </c>
      <c r="C123" s="45"/>
      <c r="D123" s="544"/>
      <c r="E123" s="544"/>
      <c r="F123" s="544"/>
      <c r="G123" s="544"/>
      <c r="H123" s="544"/>
      <c r="I123" s="544"/>
      <c r="J123" s="544">
        <f t="shared" si="10"/>
        <v>0</v>
      </c>
      <c r="K123" s="285">
        <v>1</v>
      </c>
      <c r="L123" s="544">
        <f t="shared" si="9"/>
        <v>0</v>
      </c>
      <c r="M123" s="47" t="s">
        <v>322</v>
      </c>
    </row>
    <row r="124" spans="1:13" x14ac:dyDescent="0.2">
      <c r="A124" s="303">
        <v>94</v>
      </c>
      <c r="B124" s="288" t="s">
        <v>480</v>
      </c>
      <c r="C124" s="45"/>
      <c r="D124" s="544"/>
      <c r="E124" s="544"/>
      <c r="F124" s="544"/>
      <c r="G124" s="544"/>
      <c r="H124" s="544"/>
      <c r="I124" s="544"/>
      <c r="J124" s="544">
        <f t="shared" si="10"/>
        <v>0</v>
      </c>
      <c r="K124" s="285">
        <v>1</v>
      </c>
      <c r="L124" s="544">
        <f t="shared" si="9"/>
        <v>0</v>
      </c>
      <c r="M124" s="47" t="s">
        <v>435</v>
      </c>
    </row>
    <row r="125" spans="1:13" x14ac:dyDescent="0.2">
      <c r="A125" s="303">
        <v>95</v>
      </c>
      <c r="B125" s="288" t="s">
        <v>599</v>
      </c>
      <c r="C125" s="45"/>
      <c r="D125" s="544"/>
      <c r="E125" s="544"/>
      <c r="F125" s="544"/>
      <c r="G125" s="544"/>
      <c r="H125" s="544"/>
      <c r="I125" s="544"/>
      <c r="J125" s="544">
        <f t="shared" si="10"/>
        <v>0</v>
      </c>
      <c r="K125" s="285">
        <v>1</v>
      </c>
      <c r="L125" s="544">
        <f t="shared" si="9"/>
        <v>0</v>
      </c>
      <c r="M125" s="47" t="s">
        <v>435</v>
      </c>
    </row>
    <row r="126" spans="1:13" x14ac:dyDescent="0.2">
      <c r="A126" s="303">
        <v>96</v>
      </c>
      <c r="B126" s="288" t="s">
        <v>481</v>
      </c>
      <c r="C126" s="45"/>
      <c r="D126" s="544"/>
      <c r="E126" s="544"/>
      <c r="F126" s="544"/>
      <c r="G126" s="544"/>
      <c r="H126" s="544"/>
      <c r="I126" s="544"/>
      <c r="J126" s="544">
        <f t="shared" si="10"/>
        <v>0</v>
      </c>
      <c r="K126" s="285">
        <v>1</v>
      </c>
      <c r="L126" s="544">
        <f t="shared" si="9"/>
        <v>0</v>
      </c>
      <c r="M126" s="47" t="s">
        <v>435</v>
      </c>
    </row>
    <row r="127" spans="1:13" x14ac:dyDescent="0.2">
      <c r="A127" s="303">
        <v>97</v>
      </c>
      <c r="B127" s="288" t="s">
        <v>482</v>
      </c>
      <c r="C127" s="45"/>
      <c r="D127" s="561"/>
      <c r="E127" s="561"/>
      <c r="F127" s="561"/>
      <c r="G127" s="561"/>
      <c r="H127" s="561"/>
      <c r="I127" s="561"/>
      <c r="J127" s="544">
        <f t="shared" si="10"/>
        <v>0</v>
      </c>
      <c r="K127" s="285">
        <v>1</v>
      </c>
      <c r="L127" s="544">
        <f t="shared" si="9"/>
        <v>0</v>
      </c>
      <c r="M127" s="47" t="s">
        <v>435</v>
      </c>
    </row>
    <row r="128" spans="1:13" x14ac:dyDescent="0.2">
      <c r="A128" s="303">
        <v>98</v>
      </c>
      <c r="B128" s="288" t="s">
        <v>483</v>
      </c>
      <c r="C128" s="417"/>
      <c r="D128" s="561"/>
      <c r="E128" s="561"/>
      <c r="F128" s="561"/>
      <c r="G128" s="561"/>
      <c r="H128" s="561"/>
      <c r="I128" s="561"/>
      <c r="J128" s="544">
        <f t="shared" si="10"/>
        <v>0</v>
      </c>
      <c r="K128" s="285">
        <v>1</v>
      </c>
      <c r="L128" s="544">
        <f t="shared" si="9"/>
        <v>0</v>
      </c>
      <c r="M128" s="47" t="s">
        <v>576</v>
      </c>
    </row>
    <row r="129" spans="1:13" x14ac:dyDescent="0.2">
      <c r="A129" s="304"/>
      <c r="B129" s="325"/>
      <c r="C129" s="282"/>
      <c r="D129" s="561"/>
      <c r="E129" s="561"/>
      <c r="F129" s="561"/>
      <c r="G129" s="561"/>
      <c r="H129" s="561"/>
      <c r="I129" s="561"/>
      <c r="J129" s="544"/>
      <c r="K129" s="285"/>
      <c r="L129" s="544"/>
      <c r="M129" s="47"/>
    </row>
    <row r="130" spans="1:13" x14ac:dyDescent="0.2">
      <c r="A130" s="301" t="s">
        <v>128</v>
      </c>
      <c r="B130" s="288"/>
      <c r="C130" s="282"/>
      <c r="D130" s="546"/>
      <c r="E130" s="546"/>
      <c r="F130" s="546"/>
      <c r="G130" s="546"/>
      <c r="H130" s="546"/>
      <c r="I130" s="546"/>
      <c r="J130" s="544"/>
      <c r="K130" s="285"/>
      <c r="L130" s="544"/>
      <c r="M130" s="47"/>
    </row>
    <row r="131" spans="1:13" x14ac:dyDescent="0.2">
      <c r="A131" s="281">
        <v>99</v>
      </c>
      <c r="B131" s="291" t="s">
        <v>484</v>
      </c>
      <c r="C131" s="45"/>
      <c r="D131" s="544"/>
      <c r="E131" s="544"/>
      <c r="F131" s="544"/>
      <c r="G131" s="544"/>
      <c r="H131" s="544"/>
      <c r="I131" s="544"/>
      <c r="J131" s="544">
        <f t="shared" ref="J131:J134" si="11">((G131+H131+I131)-(D131+E131+F131))</f>
        <v>0</v>
      </c>
      <c r="K131" s="285">
        <v>1</v>
      </c>
      <c r="L131" s="544">
        <f t="shared" si="9"/>
        <v>0</v>
      </c>
      <c r="M131" s="47"/>
    </row>
    <row r="132" spans="1:13" x14ac:dyDescent="0.2">
      <c r="A132" s="281">
        <v>100</v>
      </c>
      <c r="B132" s="291" t="s">
        <v>485</v>
      </c>
      <c r="C132" s="45"/>
      <c r="D132" s="544"/>
      <c r="E132" s="544"/>
      <c r="F132" s="544"/>
      <c r="G132" s="544"/>
      <c r="H132" s="544"/>
      <c r="I132" s="544"/>
      <c r="J132" s="544">
        <f t="shared" si="11"/>
        <v>0</v>
      </c>
      <c r="K132" s="285">
        <v>1</v>
      </c>
      <c r="L132" s="544">
        <f t="shared" si="9"/>
        <v>0</v>
      </c>
      <c r="M132" s="47"/>
    </row>
    <row r="133" spans="1:13" x14ac:dyDescent="0.2">
      <c r="A133" s="281">
        <v>101</v>
      </c>
      <c r="B133" s="291" t="s">
        <v>486</v>
      </c>
      <c r="C133" s="45"/>
      <c r="D133" s="544"/>
      <c r="E133" s="544"/>
      <c r="F133" s="544"/>
      <c r="G133" s="544"/>
      <c r="H133" s="544"/>
      <c r="I133" s="544"/>
      <c r="J133" s="544">
        <f t="shared" si="11"/>
        <v>0</v>
      </c>
      <c r="K133" s="285">
        <v>1</v>
      </c>
      <c r="L133" s="544">
        <f t="shared" si="9"/>
        <v>0</v>
      </c>
      <c r="M133" s="47"/>
    </row>
    <row r="134" spans="1:13" x14ac:dyDescent="0.2">
      <c r="A134" s="281">
        <v>102</v>
      </c>
      <c r="B134" s="291" t="s">
        <v>487</v>
      </c>
      <c r="C134" s="45"/>
      <c r="D134" s="544"/>
      <c r="E134" s="544"/>
      <c r="F134" s="544"/>
      <c r="G134" s="544"/>
      <c r="H134" s="544"/>
      <c r="I134" s="544"/>
      <c r="J134" s="544">
        <f t="shared" si="11"/>
        <v>0</v>
      </c>
      <c r="K134" s="285">
        <v>1</v>
      </c>
      <c r="L134" s="544">
        <f t="shared" si="9"/>
        <v>0</v>
      </c>
      <c r="M134" s="47"/>
    </row>
    <row r="135" spans="1:13" x14ac:dyDescent="0.2">
      <c r="A135" s="281"/>
      <c r="B135" s="288"/>
      <c r="C135" s="282"/>
      <c r="D135" s="546"/>
      <c r="E135" s="546"/>
      <c r="F135" s="546"/>
      <c r="G135" s="546"/>
      <c r="H135" s="546"/>
      <c r="I135" s="546"/>
      <c r="J135" s="544"/>
      <c r="K135" s="285"/>
      <c r="L135" s="544"/>
      <c r="M135" s="47"/>
    </row>
    <row r="136" spans="1:13" x14ac:dyDescent="0.2">
      <c r="A136" s="301" t="s">
        <v>132</v>
      </c>
      <c r="B136" s="288"/>
      <c r="C136" s="282"/>
      <c r="D136" s="546"/>
      <c r="E136" s="546"/>
      <c r="F136" s="546"/>
      <c r="G136" s="546"/>
      <c r="H136" s="546"/>
      <c r="I136" s="546"/>
      <c r="J136" s="544"/>
      <c r="K136" s="285"/>
      <c r="L136" s="544"/>
      <c r="M136" s="47"/>
    </row>
    <row r="137" spans="1:13" x14ac:dyDescent="0.2">
      <c r="A137" s="281">
        <v>103</v>
      </c>
      <c r="B137" s="288" t="s">
        <v>488</v>
      </c>
      <c r="C137" s="45"/>
      <c r="D137" s="544"/>
      <c r="E137" s="544"/>
      <c r="F137" s="544"/>
      <c r="G137" s="544"/>
      <c r="H137" s="544"/>
      <c r="I137" s="544"/>
      <c r="J137" s="544">
        <f t="shared" ref="J137:J138" si="12">((G137+H137+I137)-(D137+E137+F137))</f>
        <v>0</v>
      </c>
      <c r="K137" s="285">
        <v>1</v>
      </c>
      <c r="L137" s="544">
        <f>J137*K137</f>
        <v>0</v>
      </c>
      <c r="M137" s="47"/>
    </row>
    <row r="138" spans="1:13" x14ac:dyDescent="0.2">
      <c r="A138" s="281">
        <v>104</v>
      </c>
      <c r="B138" s="288" t="s">
        <v>489</v>
      </c>
      <c r="C138" s="45"/>
      <c r="D138" s="544"/>
      <c r="E138" s="544"/>
      <c r="F138" s="544"/>
      <c r="G138" s="544"/>
      <c r="H138" s="544"/>
      <c r="I138" s="544"/>
      <c r="J138" s="544">
        <f t="shared" si="12"/>
        <v>0</v>
      </c>
      <c r="K138" s="285">
        <v>1</v>
      </c>
      <c r="L138" s="544">
        <f>J138*K138</f>
        <v>0</v>
      </c>
      <c r="M138" s="47"/>
    </row>
    <row r="139" spans="1:13" x14ac:dyDescent="0.2">
      <c r="A139" s="281"/>
      <c r="B139" s="288"/>
      <c r="C139" s="282"/>
      <c r="D139" s="546"/>
      <c r="E139" s="546"/>
      <c r="F139" s="546"/>
      <c r="G139" s="546"/>
      <c r="H139" s="546"/>
      <c r="I139" s="546"/>
      <c r="J139" s="544"/>
      <c r="K139" s="285"/>
      <c r="L139" s="544"/>
      <c r="M139" s="47"/>
    </row>
    <row r="140" spans="1:13" x14ac:dyDescent="0.2">
      <c r="A140" s="301" t="s">
        <v>135</v>
      </c>
      <c r="B140" s="288"/>
      <c r="C140" s="282"/>
      <c r="D140" s="546"/>
      <c r="E140" s="546"/>
      <c r="F140" s="546"/>
      <c r="G140" s="546"/>
      <c r="H140" s="546"/>
      <c r="I140" s="546"/>
      <c r="J140" s="544"/>
      <c r="K140" s="285"/>
      <c r="L140" s="544"/>
      <c r="M140" s="47"/>
    </row>
    <row r="141" spans="1:13" x14ac:dyDescent="0.2">
      <c r="A141" s="281">
        <v>105</v>
      </c>
      <c r="B141" s="288" t="s">
        <v>490</v>
      </c>
      <c r="C141" s="45"/>
      <c r="D141" s="544"/>
      <c r="E141" s="544"/>
      <c r="F141" s="544"/>
      <c r="G141" s="544"/>
      <c r="H141" s="544"/>
      <c r="I141" s="544"/>
      <c r="J141" s="544">
        <f t="shared" ref="J141:J174" si="13">((G141+H141+I141)-(D141+E141+F141))</f>
        <v>0</v>
      </c>
      <c r="K141" s="285">
        <v>1</v>
      </c>
      <c r="L141" s="544">
        <f>J141*K141</f>
        <v>0</v>
      </c>
      <c r="M141" s="47"/>
    </row>
    <row r="142" spans="1:13" x14ac:dyDescent="0.2">
      <c r="A142" s="281">
        <v>106</v>
      </c>
      <c r="B142" s="288" t="s">
        <v>491</v>
      </c>
      <c r="C142" s="45"/>
      <c r="D142" s="544"/>
      <c r="E142" s="544"/>
      <c r="F142" s="544"/>
      <c r="G142" s="544"/>
      <c r="H142" s="544"/>
      <c r="I142" s="544"/>
      <c r="J142" s="544">
        <f t="shared" si="13"/>
        <v>0</v>
      </c>
      <c r="K142" s="285">
        <v>1</v>
      </c>
      <c r="L142" s="544">
        <f t="shared" si="9"/>
        <v>0</v>
      </c>
      <c r="M142" s="47"/>
    </row>
    <row r="143" spans="1:13" x14ac:dyDescent="0.2">
      <c r="A143" s="281">
        <v>107</v>
      </c>
      <c r="B143" s="288" t="s">
        <v>492</v>
      </c>
      <c r="C143" s="45"/>
      <c r="D143" s="544"/>
      <c r="E143" s="544"/>
      <c r="F143" s="544"/>
      <c r="G143" s="544"/>
      <c r="H143" s="544"/>
      <c r="I143" s="544"/>
      <c r="J143" s="544">
        <f t="shared" si="13"/>
        <v>0</v>
      </c>
      <c r="K143" s="285">
        <v>1</v>
      </c>
      <c r="L143" s="544">
        <f t="shared" si="9"/>
        <v>0</v>
      </c>
      <c r="M143" s="47"/>
    </row>
    <row r="144" spans="1:13" x14ac:dyDescent="0.2">
      <c r="A144" s="281">
        <v>108</v>
      </c>
      <c r="B144" s="288" t="s">
        <v>493</v>
      </c>
      <c r="C144" s="45"/>
      <c r="D144" s="544"/>
      <c r="E144" s="544"/>
      <c r="F144" s="544"/>
      <c r="G144" s="544"/>
      <c r="H144" s="544"/>
      <c r="I144" s="544"/>
      <c r="J144" s="544">
        <f t="shared" si="13"/>
        <v>0</v>
      </c>
      <c r="K144" s="285">
        <v>1</v>
      </c>
      <c r="L144" s="544">
        <f t="shared" si="9"/>
        <v>0</v>
      </c>
      <c r="M144" s="47"/>
    </row>
    <row r="145" spans="1:13" x14ac:dyDescent="0.2">
      <c r="A145" s="281">
        <v>109</v>
      </c>
      <c r="B145" s="288" t="s">
        <v>494</v>
      </c>
      <c r="C145" s="45"/>
      <c r="D145" s="544"/>
      <c r="E145" s="544"/>
      <c r="F145" s="544"/>
      <c r="G145" s="544"/>
      <c r="H145" s="544"/>
      <c r="I145" s="544"/>
      <c r="J145" s="544">
        <f t="shared" si="13"/>
        <v>0</v>
      </c>
      <c r="K145" s="285">
        <v>1</v>
      </c>
      <c r="L145" s="544">
        <f t="shared" si="9"/>
        <v>0</v>
      </c>
      <c r="M145" s="47"/>
    </row>
    <row r="146" spans="1:13" x14ac:dyDescent="0.2">
      <c r="A146" s="281">
        <v>110</v>
      </c>
      <c r="B146" s="288" t="s">
        <v>495</v>
      </c>
      <c r="C146" s="45"/>
      <c r="D146" s="544"/>
      <c r="E146" s="544"/>
      <c r="F146" s="544"/>
      <c r="G146" s="544"/>
      <c r="H146" s="544"/>
      <c r="I146" s="544"/>
      <c r="J146" s="544">
        <f t="shared" si="13"/>
        <v>0</v>
      </c>
      <c r="K146" s="285">
        <v>1</v>
      </c>
      <c r="L146" s="544">
        <f t="shared" si="9"/>
        <v>0</v>
      </c>
      <c r="M146" s="47"/>
    </row>
    <row r="147" spans="1:13" x14ac:dyDescent="0.2">
      <c r="A147" s="281">
        <v>111</v>
      </c>
      <c r="B147" s="288" t="s">
        <v>496</v>
      </c>
      <c r="C147" s="45"/>
      <c r="D147" s="544"/>
      <c r="E147" s="544"/>
      <c r="F147" s="544"/>
      <c r="G147" s="544"/>
      <c r="H147" s="544"/>
      <c r="I147" s="544"/>
      <c r="J147" s="544">
        <f t="shared" si="13"/>
        <v>0</v>
      </c>
      <c r="K147" s="285">
        <v>1</v>
      </c>
      <c r="L147" s="544">
        <f t="shared" si="9"/>
        <v>0</v>
      </c>
      <c r="M147" s="47"/>
    </row>
    <row r="148" spans="1:13" x14ac:dyDescent="0.2">
      <c r="A148" s="281">
        <v>112</v>
      </c>
      <c r="B148" s="288" t="s">
        <v>497</v>
      </c>
      <c r="C148" s="45"/>
      <c r="D148" s="544"/>
      <c r="E148" s="544"/>
      <c r="F148" s="544"/>
      <c r="G148" s="544"/>
      <c r="H148" s="544"/>
      <c r="I148" s="544"/>
      <c r="J148" s="544">
        <f t="shared" si="13"/>
        <v>0</v>
      </c>
      <c r="K148" s="285">
        <v>1</v>
      </c>
      <c r="L148" s="544">
        <f t="shared" si="9"/>
        <v>0</v>
      </c>
      <c r="M148" s="47"/>
    </row>
    <row r="149" spans="1:13" x14ac:dyDescent="0.2">
      <c r="A149" s="281">
        <v>113</v>
      </c>
      <c r="B149" s="288" t="s">
        <v>498</v>
      </c>
      <c r="C149" s="45"/>
      <c r="D149" s="544"/>
      <c r="E149" s="544"/>
      <c r="F149" s="544"/>
      <c r="G149" s="544"/>
      <c r="H149" s="544"/>
      <c r="I149" s="544"/>
      <c r="J149" s="544">
        <f t="shared" si="13"/>
        <v>0</v>
      </c>
      <c r="K149" s="285">
        <v>1</v>
      </c>
      <c r="L149" s="544">
        <f t="shared" si="9"/>
        <v>0</v>
      </c>
      <c r="M149" s="47"/>
    </row>
    <row r="150" spans="1:13" x14ac:dyDescent="0.2">
      <c r="A150" s="281">
        <v>114</v>
      </c>
      <c r="B150" s="288" t="s">
        <v>499</v>
      </c>
      <c r="C150" s="45"/>
      <c r="D150" s="544"/>
      <c r="E150" s="544"/>
      <c r="F150" s="544"/>
      <c r="G150" s="544"/>
      <c r="H150" s="544"/>
      <c r="I150" s="544"/>
      <c r="J150" s="544">
        <f t="shared" si="13"/>
        <v>0</v>
      </c>
      <c r="K150" s="285">
        <v>1</v>
      </c>
      <c r="L150" s="544">
        <f t="shared" si="9"/>
        <v>0</v>
      </c>
      <c r="M150" s="47"/>
    </row>
    <row r="151" spans="1:13" x14ac:dyDescent="0.2">
      <c r="A151" s="281">
        <v>115</v>
      </c>
      <c r="B151" s="288" t="s">
        <v>500</v>
      </c>
      <c r="C151" s="45"/>
      <c r="D151" s="544"/>
      <c r="E151" s="544"/>
      <c r="F151" s="544"/>
      <c r="G151" s="544"/>
      <c r="H151" s="544"/>
      <c r="I151" s="544"/>
      <c r="J151" s="544">
        <f t="shared" si="13"/>
        <v>0</v>
      </c>
      <c r="K151" s="285">
        <v>1</v>
      </c>
      <c r="L151" s="544">
        <f t="shared" si="9"/>
        <v>0</v>
      </c>
      <c r="M151" s="47"/>
    </row>
    <row r="152" spans="1:13" x14ac:dyDescent="0.2">
      <c r="A152" s="281">
        <v>116</v>
      </c>
      <c r="B152" s="288" t="s">
        <v>501</v>
      </c>
      <c r="C152" s="45"/>
      <c r="D152" s="544"/>
      <c r="E152" s="544"/>
      <c r="F152" s="544"/>
      <c r="G152" s="544"/>
      <c r="H152" s="544"/>
      <c r="I152" s="544"/>
      <c r="J152" s="544">
        <f t="shared" si="13"/>
        <v>0</v>
      </c>
      <c r="K152" s="285">
        <v>1</v>
      </c>
      <c r="L152" s="544">
        <f t="shared" si="9"/>
        <v>0</v>
      </c>
      <c r="M152" s="47"/>
    </row>
    <row r="153" spans="1:13" x14ac:dyDescent="0.2">
      <c r="A153" s="281">
        <v>117</v>
      </c>
      <c r="B153" s="288" t="s">
        <v>502</v>
      </c>
      <c r="C153" s="45"/>
      <c r="D153" s="544"/>
      <c r="E153" s="544"/>
      <c r="F153" s="544"/>
      <c r="G153" s="544"/>
      <c r="H153" s="544"/>
      <c r="I153" s="544"/>
      <c r="J153" s="544">
        <f t="shared" si="13"/>
        <v>0</v>
      </c>
      <c r="K153" s="285">
        <v>1</v>
      </c>
      <c r="L153" s="544">
        <f t="shared" si="9"/>
        <v>0</v>
      </c>
      <c r="M153" s="47"/>
    </row>
    <row r="154" spans="1:13" x14ac:dyDescent="0.2">
      <c r="A154" s="281">
        <v>118</v>
      </c>
      <c r="B154" s="288" t="s">
        <v>503</v>
      </c>
      <c r="C154" s="45"/>
      <c r="D154" s="544"/>
      <c r="E154" s="544"/>
      <c r="F154" s="544"/>
      <c r="G154" s="544"/>
      <c r="H154" s="544"/>
      <c r="I154" s="544"/>
      <c r="J154" s="544">
        <f t="shared" si="13"/>
        <v>0</v>
      </c>
      <c r="K154" s="285">
        <v>1</v>
      </c>
      <c r="L154" s="544">
        <f t="shared" si="9"/>
        <v>0</v>
      </c>
      <c r="M154" s="47"/>
    </row>
    <row r="155" spans="1:13" x14ac:dyDescent="0.2">
      <c r="A155" s="281">
        <v>119</v>
      </c>
      <c r="B155" s="288" t="s">
        <v>504</v>
      </c>
      <c r="C155" s="45"/>
      <c r="D155" s="544"/>
      <c r="E155" s="544"/>
      <c r="F155" s="544"/>
      <c r="G155" s="544"/>
      <c r="H155" s="544"/>
      <c r="I155" s="544"/>
      <c r="J155" s="544">
        <f t="shared" si="13"/>
        <v>0</v>
      </c>
      <c r="K155" s="285">
        <v>1</v>
      </c>
      <c r="L155" s="544">
        <f t="shared" ref="L155:L190" si="14">J155*K155</f>
        <v>0</v>
      </c>
      <c r="M155" s="47"/>
    </row>
    <row r="156" spans="1:13" x14ac:dyDescent="0.2">
      <c r="A156" s="281">
        <v>120</v>
      </c>
      <c r="B156" s="288" t="s">
        <v>505</v>
      </c>
      <c r="C156" s="45"/>
      <c r="D156" s="544"/>
      <c r="E156" s="544"/>
      <c r="F156" s="544"/>
      <c r="G156" s="544"/>
      <c r="H156" s="544"/>
      <c r="I156" s="544"/>
      <c r="J156" s="544">
        <f t="shared" si="13"/>
        <v>0</v>
      </c>
      <c r="K156" s="285">
        <v>1</v>
      </c>
      <c r="L156" s="544">
        <f t="shared" si="14"/>
        <v>0</v>
      </c>
      <c r="M156" s="47"/>
    </row>
    <row r="157" spans="1:13" x14ac:dyDescent="0.2">
      <c r="A157" s="281">
        <v>121</v>
      </c>
      <c r="B157" s="288" t="s">
        <v>506</v>
      </c>
      <c r="C157" s="45"/>
      <c r="D157" s="544"/>
      <c r="E157" s="544"/>
      <c r="F157" s="544"/>
      <c r="G157" s="544"/>
      <c r="H157" s="544"/>
      <c r="I157" s="544"/>
      <c r="J157" s="544">
        <f t="shared" si="13"/>
        <v>0</v>
      </c>
      <c r="K157" s="285">
        <v>1</v>
      </c>
      <c r="L157" s="544">
        <f t="shared" si="14"/>
        <v>0</v>
      </c>
      <c r="M157" s="47"/>
    </row>
    <row r="158" spans="1:13" x14ac:dyDescent="0.2">
      <c r="A158" s="281">
        <v>122</v>
      </c>
      <c r="B158" s="288" t="s">
        <v>507</v>
      </c>
      <c r="C158" s="45"/>
      <c r="D158" s="544"/>
      <c r="E158" s="544"/>
      <c r="F158" s="544"/>
      <c r="G158" s="544"/>
      <c r="H158" s="544"/>
      <c r="I158" s="544"/>
      <c r="J158" s="544">
        <f t="shared" si="13"/>
        <v>0</v>
      </c>
      <c r="K158" s="285">
        <v>1</v>
      </c>
      <c r="L158" s="544">
        <f t="shared" si="14"/>
        <v>0</v>
      </c>
      <c r="M158" s="47"/>
    </row>
    <row r="159" spans="1:13" x14ac:dyDescent="0.2">
      <c r="A159" s="281">
        <v>123</v>
      </c>
      <c r="B159" s="288" t="s">
        <v>508</v>
      </c>
      <c r="C159" s="45"/>
      <c r="D159" s="544"/>
      <c r="E159" s="544"/>
      <c r="F159" s="544"/>
      <c r="G159" s="544"/>
      <c r="H159" s="544"/>
      <c r="I159" s="544"/>
      <c r="J159" s="544">
        <f t="shared" si="13"/>
        <v>0</v>
      </c>
      <c r="K159" s="285">
        <v>1</v>
      </c>
      <c r="L159" s="544">
        <f t="shared" si="14"/>
        <v>0</v>
      </c>
      <c r="M159" s="47"/>
    </row>
    <row r="160" spans="1:13" x14ac:dyDescent="0.2">
      <c r="A160" s="281">
        <v>124</v>
      </c>
      <c r="B160" s="288" t="s">
        <v>509</v>
      </c>
      <c r="C160" s="45"/>
      <c r="D160" s="544"/>
      <c r="E160" s="544"/>
      <c r="F160" s="544"/>
      <c r="G160" s="544"/>
      <c r="H160" s="544"/>
      <c r="I160" s="544"/>
      <c r="J160" s="544">
        <f t="shared" si="13"/>
        <v>0</v>
      </c>
      <c r="K160" s="285">
        <v>1</v>
      </c>
      <c r="L160" s="544">
        <f t="shared" si="14"/>
        <v>0</v>
      </c>
      <c r="M160" s="47"/>
    </row>
    <row r="161" spans="1:13" x14ac:dyDescent="0.2">
      <c r="A161" s="281">
        <v>125</v>
      </c>
      <c r="B161" s="288" t="s">
        <v>510</v>
      </c>
      <c r="C161" s="45"/>
      <c r="D161" s="544"/>
      <c r="E161" s="544"/>
      <c r="F161" s="544"/>
      <c r="G161" s="544"/>
      <c r="H161" s="544"/>
      <c r="I161" s="544"/>
      <c r="J161" s="544">
        <f t="shared" si="13"/>
        <v>0</v>
      </c>
      <c r="K161" s="285">
        <v>1</v>
      </c>
      <c r="L161" s="544">
        <f t="shared" si="14"/>
        <v>0</v>
      </c>
      <c r="M161" s="47"/>
    </row>
    <row r="162" spans="1:13" x14ac:dyDescent="0.2">
      <c r="A162" s="281">
        <v>126</v>
      </c>
      <c r="B162" s="288" t="s">
        <v>511</v>
      </c>
      <c r="C162" s="45"/>
      <c r="D162" s="544"/>
      <c r="E162" s="544"/>
      <c r="F162" s="544"/>
      <c r="G162" s="544"/>
      <c r="H162" s="544"/>
      <c r="I162" s="544"/>
      <c r="J162" s="544">
        <f t="shared" si="13"/>
        <v>0</v>
      </c>
      <c r="K162" s="285">
        <v>1</v>
      </c>
      <c r="L162" s="544">
        <f t="shared" si="14"/>
        <v>0</v>
      </c>
      <c r="M162" s="47"/>
    </row>
    <row r="163" spans="1:13" x14ac:dyDescent="0.2">
      <c r="A163" s="281">
        <v>127</v>
      </c>
      <c r="B163" s="288" t="s">
        <v>28</v>
      </c>
      <c r="C163" s="45"/>
      <c r="D163" s="544"/>
      <c r="E163" s="544"/>
      <c r="F163" s="544"/>
      <c r="G163" s="544"/>
      <c r="H163" s="544"/>
      <c r="I163" s="544"/>
      <c r="J163" s="544">
        <f t="shared" si="13"/>
        <v>0</v>
      </c>
      <c r="K163" s="285">
        <v>1</v>
      </c>
      <c r="L163" s="544">
        <f t="shared" si="14"/>
        <v>0</v>
      </c>
      <c r="M163" s="47"/>
    </row>
    <row r="164" spans="1:13" x14ac:dyDescent="0.2">
      <c r="A164" s="281">
        <v>128</v>
      </c>
      <c r="B164" s="288" t="s">
        <v>29</v>
      </c>
      <c r="C164" s="45"/>
      <c r="D164" s="544"/>
      <c r="E164" s="544"/>
      <c r="F164" s="544"/>
      <c r="G164" s="544"/>
      <c r="H164" s="544"/>
      <c r="I164" s="544"/>
      <c r="J164" s="544">
        <f t="shared" si="13"/>
        <v>0</v>
      </c>
      <c r="K164" s="285">
        <v>1</v>
      </c>
      <c r="L164" s="544">
        <f t="shared" si="14"/>
        <v>0</v>
      </c>
      <c r="M164" s="47"/>
    </row>
    <row r="165" spans="1:13" x14ac:dyDescent="0.2">
      <c r="A165" s="281">
        <v>129</v>
      </c>
      <c r="B165" s="288" t="s">
        <v>30</v>
      </c>
      <c r="C165" s="45"/>
      <c r="D165" s="544"/>
      <c r="E165" s="544"/>
      <c r="F165" s="544"/>
      <c r="G165" s="544"/>
      <c r="H165" s="544"/>
      <c r="I165" s="544"/>
      <c r="J165" s="544">
        <f t="shared" si="13"/>
        <v>0</v>
      </c>
      <c r="K165" s="285">
        <v>1</v>
      </c>
      <c r="L165" s="544">
        <f t="shared" si="14"/>
        <v>0</v>
      </c>
      <c r="M165" s="47"/>
    </row>
    <row r="166" spans="1:13" x14ac:dyDescent="0.2">
      <c r="A166" s="281">
        <v>130</v>
      </c>
      <c r="B166" s="288" t="s">
        <v>31</v>
      </c>
      <c r="C166" s="45"/>
      <c r="D166" s="544"/>
      <c r="E166" s="544"/>
      <c r="F166" s="544"/>
      <c r="G166" s="544"/>
      <c r="H166" s="544"/>
      <c r="I166" s="544"/>
      <c r="J166" s="544">
        <f t="shared" si="13"/>
        <v>0</v>
      </c>
      <c r="K166" s="285">
        <v>1</v>
      </c>
      <c r="L166" s="544">
        <f t="shared" si="14"/>
        <v>0</v>
      </c>
      <c r="M166" s="47"/>
    </row>
    <row r="167" spans="1:13" x14ac:dyDescent="0.2">
      <c r="A167" s="281">
        <v>131</v>
      </c>
      <c r="B167" s="288" t="s">
        <v>32</v>
      </c>
      <c r="C167" s="45"/>
      <c r="D167" s="544"/>
      <c r="E167" s="544"/>
      <c r="F167" s="544"/>
      <c r="G167" s="544"/>
      <c r="H167" s="544"/>
      <c r="I167" s="544"/>
      <c r="J167" s="544">
        <f t="shared" si="13"/>
        <v>0</v>
      </c>
      <c r="K167" s="285">
        <v>1</v>
      </c>
      <c r="L167" s="544">
        <f t="shared" si="14"/>
        <v>0</v>
      </c>
      <c r="M167" s="47"/>
    </row>
    <row r="168" spans="1:13" x14ac:dyDescent="0.2">
      <c r="A168" s="281">
        <v>132</v>
      </c>
      <c r="B168" s="288" t="s">
        <v>33</v>
      </c>
      <c r="C168" s="45"/>
      <c r="D168" s="544"/>
      <c r="E168" s="544"/>
      <c r="F168" s="544"/>
      <c r="G168" s="544"/>
      <c r="H168" s="544"/>
      <c r="I168" s="544"/>
      <c r="J168" s="544">
        <f t="shared" si="13"/>
        <v>0</v>
      </c>
      <c r="K168" s="285">
        <v>1</v>
      </c>
      <c r="L168" s="544">
        <f t="shared" si="14"/>
        <v>0</v>
      </c>
      <c r="M168" s="47"/>
    </row>
    <row r="169" spans="1:13" x14ac:dyDescent="0.2">
      <c r="A169" s="281">
        <v>133</v>
      </c>
      <c r="B169" s="288" t="s">
        <v>34</v>
      </c>
      <c r="C169" s="45"/>
      <c r="D169" s="544"/>
      <c r="E169" s="544"/>
      <c r="F169" s="544"/>
      <c r="G169" s="544"/>
      <c r="H169" s="544"/>
      <c r="I169" s="544"/>
      <c r="J169" s="544">
        <f t="shared" si="13"/>
        <v>0</v>
      </c>
      <c r="K169" s="285">
        <v>1</v>
      </c>
      <c r="L169" s="544">
        <f t="shared" si="14"/>
        <v>0</v>
      </c>
      <c r="M169" s="47"/>
    </row>
    <row r="170" spans="1:13" x14ac:dyDescent="0.2">
      <c r="A170" s="281">
        <v>134</v>
      </c>
      <c r="B170" s="288" t="s">
        <v>35</v>
      </c>
      <c r="C170" s="45"/>
      <c r="D170" s="544"/>
      <c r="E170" s="544"/>
      <c r="F170" s="544"/>
      <c r="G170" s="544"/>
      <c r="H170" s="544"/>
      <c r="I170" s="544"/>
      <c r="J170" s="544">
        <f t="shared" si="13"/>
        <v>0</v>
      </c>
      <c r="K170" s="285">
        <v>1</v>
      </c>
      <c r="L170" s="544">
        <f t="shared" si="14"/>
        <v>0</v>
      </c>
      <c r="M170" s="47"/>
    </row>
    <row r="171" spans="1:13" x14ac:dyDescent="0.2">
      <c r="A171" s="281">
        <v>135</v>
      </c>
      <c r="B171" s="288" t="s">
        <v>36</v>
      </c>
      <c r="C171" s="45"/>
      <c r="D171" s="544"/>
      <c r="E171" s="544"/>
      <c r="F171" s="544"/>
      <c r="G171" s="544"/>
      <c r="H171" s="544"/>
      <c r="I171" s="544"/>
      <c r="J171" s="544">
        <f t="shared" si="13"/>
        <v>0</v>
      </c>
      <c r="K171" s="285">
        <v>1</v>
      </c>
      <c r="L171" s="544">
        <f t="shared" si="14"/>
        <v>0</v>
      </c>
      <c r="M171" s="47"/>
    </row>
    <row r="172" spans="1:13" x14ac:dyDescent="0.2">
      <c r="A172" s="281">
        <v>136</v>
      </c>
      <c r="B172" s="288" t="s">
        <v>37</v>
      </c>
      <c r="C172" s="45"/>
      <c r="D172" s="544"/>
      <c r="E172" s="544"/>
      <c r="F172" s="544"/>
      <c r="G172" s="544"/>
      <c r="H172" s="544"/>
      <c r="I172" s="544"/>
      <c r="J172" s="544">
        <f t="shared" si="13"/>
        <v>0</v>
      </c>
      <c r="K172" s="285">
        <v>1</v>
      </c>
      <c r="L172" s="544">
        <f t="shared" si="14"/>
        <v>0</v>
      </c>
      <c r="M172" s="47"/>
    </row>
    <row r="173" spans="1:13" x14ac:dyDescent="0.2">
      <c r="A173" s="281">
        <v>137</v>
      </c>
      <c r="B173" s="288" t="s">
        <v>38</v>
      </c>
      <c r="C173" s="45"/>
      <c r="D173" s="544"/>
      <c r="E173" s="544"/>
      <c r="F173" s="544"/>
      <c r="G173" s="544"/>
      <c r="H173" s="544"/>
      <c r="I173" s="544"/>
      <c r="J173" s="544">
        <f t="shared" si="13"/>
        <v>0</v>
      </c>
      <c r="K173" s="285">
        <v>1</v>
      </c>
      <c r="L173" s="544">
        <f t="shared" si="14"/>
        <v>0</v>
      </c>
      <c r="M173" s="47"/>
    </row>
    <row r="174" spans="1:13" x14ac:dyDescent="0.2">
      <c r="A174" s="281">
        <v>138</v>
      </c>
      <c r="B174" s="288" t="s">
        <v>512</v>
      </c>
      <c r="C174" s="45"/>
      <c r="D174" s="544"/>
      <c r="E174" s="544"/>
      <c r="F174" s="544"/>
      <c r="G174" s="544"/>
      <c r="H174" s="544"/>
      <c r="I174" s="544"/>
      <c r="J174" s="544">
        <f t="shared" si="13"/>
        <v>0</v>
      </c>
      <c r="K174" s="285">
        <v>1</v>
      </c>
      <c r="L174" s="544">
        <f t="shared" si="14"/>
        <v>0</v>
      </c>
      <c r="M174" s="47"/>
    </row>
    <row r="175" spans="1:13" x14ac:dyDescent="0.2">
      <c r="A175" s="304"/>
      <c r="B175" s="325"/>
      <c r="C175" s="282"/>
      <c r="D175" s="546"/>
      <c r="E175" s="546"/>
      <c r="F175" s="546"/>
      <c r="G175" s="546"/>
      <c r="H175" s="546"/>
      <c r="I175" s="546"/>
      <c r="J175" s="544"/>
      <c r="K175" s="285"/>
      <c r="L175" s="544"/>
      <c r="M175" s="47"/>
    </row>
    <row r="176" spans="1:13" x14ac:dyDescent="0.2">
      <c r="A176" s="301" t="s">
        <v>39</v>
      </c>
      <c r="B176" s="288"/>
      <c r="C176" s="282"/>
      <c r="D176" s="546"/>
      <c r="E176" s="546"/>
      <c r="F176" s="546"/>
      <c r="G176" s="546"/>
      <c r="H176" s="546"/>
      <c r="I176" s="546"/>
      <c r="J176" s="544"/>
      <c r="K176" s="285"/>
      <c r="L176" s="544"/>
      <c r="M176" s="47"/>
    </row>
    <row r="177" spans="1:13" x14ac:dyDescent="0.2">
      <c r="A177" s="301"/>
      <c r="B177" s="288"/>
      <c r="C177" s="299" t="s">
        <v>40</v>
      </c>
      <c r="D177" s="562"/>
      <c r="E177" s="562"/>
      <c r="F177" s="562"/>
      <c r="G177" s="562"/>
      <c r="H177" s="562"/>
      <c r="I177" s="562"/>
      <c r="J177" s="544"/>
      <c r="K177" s="285"/>
      <c r="L177" s="544"/>
      <c r="M177" s="47"/>
    </row>
    <row r="178" spans="1:13" x14ac:dyDescent="0.2">
      <c r="A178" s="281">
        <v>139</v>
      </c>
      <c r="B178" s="288" t="s">
        <v>513</v>
      </c>
      <c r="C178" s="45"/>
      <c r="D178" s="544"/>
      <c r="E178" s="544"/>
      <c r="F178" s="544"/>
      <c r="G178" s="544"/>
      <c r="H178" s="544"/>
      <c r="I178" s="544"/>
      <c r="J178" s="544">
        <f t="shared" ref="J178:J184" si="15">((G178+H178+I178)-(D178+E178+F178))</f>
        <v>0</v>
      </c>
      <c r="K178" s="290">
        <v>1</v>
      </c>
      <c r="L178" s="544">
        <f t="shared" si="14"/>
        <v>0</v>
      </c>
      <c r="M178" s="47"/>
    </row>
    <row r="179" spans="1:13" x14ac:dyDescent="0.2">
      <c r="A179" s="281">
        <v>140</v>
      </c>
      <c r="B179" s="288" t="s">
        <v>514</v>
      </c>
      <c r="C179" s="296"/>
      <c r="D179" s="544"/>
      <c r="E179" s="544"/>
      <c r="F179" s="544"/>
      <c r="G179" s="544"/>
      <c r="H179" s="544"/>
      <c r="I179" s="544"/>
      <c r="J179" s="544">
        <f t="shared" si="15"/>
        <v>0</v>
      </c>
      <c r="K179" s="285">
        <v>1</v>
      </c>
      <c r="L179" s="544">
        <f t="shared" si="14"/>
        <v>0</v>
      </c>
      <c r="M179" s="47"/>
    </row>
    <row r="180" spans="1:13" x14ac:dyDescent="0.2">
      <c r="A180" s="281">
        <v>141</v>
      </c>
      <c r="B180" s="288" t="s">
        <v>515</v>
      </c>
      <c r="C180" s="296"/>
      <c r="D180" s="544"/>
      <c r="E180" s="544"/>
      <c r="F180" s="544"/>
      <c r="G180" s="544"/>
      <c r="H180" s="544"/>
      <c r="I180" s="544"/>
      <c r="J180" s="544">
        <f t="shared" si="15"/>
        <v>0</v>
      </c>
      <c r="K180" s="285">
        <v>1</v>
      </c>
      <c r="L180" s="544">
        <f t="shared" si="14"/>
        <v>0</v>
      </c>
      <c r="M180" s="47"/>
    </row>
    <row r="181" spans="1:13" x14ac:dyDescent="0.2">
      <c r="A181" s="281">
        <v>142</v>
      </c>
      <c r="B181" s="288" t="s">
        <v>41</v>
      </c>
      <c r="C181" s="296"/>
      <c r="D181" s="544"/>
      <c r="E181" s="544"/>
      <c r="F181" s="544"/>
      <c r="G181" s="544"/>
      <c r="H181" s="544"/>
      <c r="I181" s="544"/>
      <c r="J181" s="544">
        <f t="shared" si="15"/>
        <v>0</v>
      </c>
      <c r="K181" s="285">
        <v>1</v>
      </c>
      <c r="L181" s="544">
        <f t="shared" si="14"/>
        <v>0</v>
      </c>
      <c r="M181" s="47"/>
    </row>
    <row r="182" spans="1:13" x14ac:dyDescent="0.2">
      <c r="A182" s="281">
        <v>143</v>
      </c>
      <c r="B182" s="288" t="s">
        <v>42</v>
      </c>
      <c r="C182" s="296"/>
      <c r="D182" s="544"/>
      <c r="E182" s="544"/>
      <c r="F182" s="544"/>
      <c r="G182" s="544"/>
      <c r="H182" s="544"/>
      <c r="I182" s="544"/>
      <c r="J182" s="544">
        <f t="shared" si="15"/>
        <v>0</v>
      </c>
      <c r="K182" s="285">
        <v>1</v>
      </c>
      <c r="L182" s="544">
        <f t="shared" si="14"/>
        <v>0</v>
      </c>
      <c r="M182" s="47"/>
    </row>
    <row r="183" spans="1:13" x14ac:dyDescent="0.2">
      <c r="A183" s="281">
        <v>144</v>
      </c>
      <c r="B183" s="288" t="s">
        <v>43</v>
      </c>
      <c r="C183" s="296"/>
      <c r="D183" s="544"/>
      <c r="E183" s="544"/>
      <c r="F183" s="544"/>
      <c r="G183" s="544"/>
      <c r="H183" s="544"/>
      <c r="I183" s="544"/>
      <c r="J183" s="544">
        <f t="shared" si="15"/>
        <v>0</v>
      </c>
      <c r="K183" s="285">
        <v>1</v>
      </c>
      <c r="L183" s="544">
        <f t="shared" si="14"/>
        <v>0</v>
      </c>
      <c r="M183" s="47"/>
    </row>
    <row r="184" spans="1:13" x14ac:dyDescent="0.2">
      <c r="A184" s="281">
        <v>145</v>
      </c>
      <c r="B184" s="288" t="s">
        <v>44</v>
      </c>
      <c r="C184" s="296"/>
      <c r="D184" s="544"/>
      <c r="E184" s="544"/>
      <c r="F184" s="544"/>
      <c r="G184" s="544"/>
      <c r="H184" s="544"/>
      <c r="I184" s="544"/>
      <c r="J184" s="544">
        <f t="shared" si="15"/>
        <v>0</v>
      </c>
      <c r="K184" s="285">
        <v>1</v>
      </c>
      <c r="L184" s="544">
        <f t="shared" si="14"/>
        <v>0</v>
      </c>
      <c r="M184" s="47"/>
    </row>
    <row r="185" spans="1:13" x14ac:dyDescent="0.2">
      <c r="A185" s="281"/>
      <c r="B185" s="288"/>
      <c r="C185" s="296"/>
      <c r="D185" s="544"/>
      <c r="E185" s="544"/>
      <c r="F185" s="544"/>
      <c r="G185" s="544"/>
      <c r="H185" s="544"/>
      <c r="I185" s="544"/>
      <c r="J185" s="544"/>
      <c r="K185" s="285"/>
      <c r="L185" s="544">
        <f t="shared" si="14"/>
        <v>0</v>
      </c>
      <c r="M185" s="47"/>
    </row>
    <row r="186" spans="1:13" x14ac:dyDescent="0.2">
      <c r="A186" s="281">
        <v>146</v>
      </c>
      <c r="B186" s="288" t="s">
        <v>516</v>
      </c>
      <c r="C186" s="296"/>
      <c r="D186" s="563"/>
      <c r="E186" s="563"/>
      <c r="F186" s="563"/>
      <c r="G186" s="563"/>
      <c r="H186" s="563"/>
      <c r="I186" s="563"/>
      <c r="J186" s="544">
        <f t="shared" ref="J186:J190" si="16">((G186+H186+I186)-(D186+E186+F186))</f>
        <v>0</v>
      </c>
      <c r="K186" s="285">
        <v>1</v>
      </c>
      <c r="L186" s="544">
        <f>J186*K186</f>
        <v>0</v>
      </c>
      <c r="M186" s="47"/>
    </row>
    <row r="187" spans="1:13" x14ac:dyDescent="0.2">
      <c r="A187" s="281">
        <v>147</v>
      </c>
      <c r="B187" s="288" t="s">
        <v>517</v>
      </c>
      <c r="C187" s="296"/>
      <c r="D187" s="563"/>
      <c r="E187" s="563"/>
      <c r="F187" s="563"/>
      <c r="G187" s="563"/>
      <c r="H187" s="563"/>
      <c r="I187" s="563"/>
      <c r="J187" s="544">
        <f t="shared" si="16"/>
        <v>0</v>
      </c>
      <c r="K187" s="285">
        <v>1</v>
      </c>
      <c r="L187" s="544">
        <f t="shared" si="14"/>
        <v>0</v>
      </c>
      <c r="M187" s="47"/>
    </row>
    <row r="188" spans="1:13" x14ac:dyDescent="0.2">
      <c r="A188" s="281">
        <v>148</v>
      </c>
      <c r="B188" s="288" t="s">
        <v>518</v>
      </c>
      <c r="C188" s="296"/>
      <c r="D188" s="563"/>
      <c r="E188" s="563"/>
      <c r="F188" s="563"/>
      <c r="G188" s="563"/>
      <c r="H188" s="563"/>
      <c r="I188" s="563"/>
      <c r="J188" s="544">
        <f t="shared" si="16"/>
        <v>0</v>
      </c>
      <c r="K188" s="285">
        <v>1</v>
      </c>
      <c r="L188" s="544">
        <f t="shared" si="14"/>
        <v>0</v>
      </c>
      <c r="M188" s="47"/>
    </row>
    <row r="189" spans="1:13" x14ac:dyDescent="0.2">
      <c r="A189" s="281">
        <v>149</v>
      </c>
      <c r="B189" s="288" t="s">
        <v>519</v>
      </c>
      <c r="C189" s="296"/>
      <c r="D189" s="563"/>
      <c r="E189" s="563"/>
      <c r="F189" s="563"/>
      <c r="G189" s="563"/>
      <c r="H189" s="563"/>
      <c r="I189" s="563"/>
      <c r="J189" s="544">
        <f t="shared" si="16"/>
        <v>0</v>
      </c>
      <c r="K189" s="285">
        <v>1</v>
      </c>
      <c r="L189" s="544">
        <f t="shared" si="14"/>
        <v>0</v>
      </c>
      <c r="M189" s="47"/>
    </row>
    <row r="190" spans="1:13" x14ac:dyDescent="0.2">
      <c r="A190" s="305">
        <v>150</v>
      </c>
      <c r="B190" s="347" t="s">
        <v>520</v>
      </c>
      <c r="C190" s="461"/>
      <c r="D190" s="564"/>
      <c r="E190" s="564"/>
      <c r="F190" s="564"/>
      <c r="G190" s="564"/>
      <c r="H190" s="564"/>
      <c r="I190" s="564"/>
      <c r="J190" s="547">
        <f t="shared" si="16"/>
        <v>0</v>
      </c>
      <c r="K190" s="306">
        <v>1</v>
      </c>
      <c r="L190" s="547">
        <f t="shared" si="14"/>
        <v>0</v>
      </c>
      <c r="M190" s="49"/>
    </row>
  </sheetData>
  <mergeCells count="10">
    <mergeCell ref="J4:J5"/>
    <mergeCell ref="A1:M1"/>
    <mergeCell ref="A2:M2"/>
    <mergeCell ref="A3:M3"/>
    <mergeCell ref="A4:C4"/>
    <mergeCell ref="K4:K5"/>
    <mergeCell ref="M4:M5"/>
    <mergeCell ref="A5:C5"/>
    <mergeCell ref="D4:F4"/>
    <mergeCell ref="G4:I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3"/>
  <sheetViews>
    <sheetView zoomScale="96" workbookViewId="0">
      <selection activeCell="D7" sqref="D7"/>
    </sheetView>
  </sheetViews>
  <sheetFormatPr defaultColWidth="8.85546875" defaultRowHeight="11.25" x14ac:dyDescent="0.2"/>
  <cols>
    <col min="1" max="1" width="2.7109375" style="22" customWidth="1"/>
    <col min="2" max="2" width="2.140625" style="249" customWidth="1"/>
    <col min="3" max="3" width="40.7109375" style="22" customWidth="1"/>
    <col min="4" max="4" width="16.28515625" style="423" customWidth="1"/>
    <col min="5" max="5" width="11.85546875" style="423" customWidth="1"/>
    <col min="6" max="6" width="21.140625" style="423" customWidth="1"/>
    <col min="7" max="7" width="33.5703125" style="22" bestFit="1" customWidth="1"/>
    <col min="8" max="8" width="3.5703125" style="22" customWidth="1"/>
    <col min="9" max="9" width="25.7109375" style="22" customWidth="1"/>
    <col min="10" max="16384" width="8.85546875" style="22"/>
  </cols>
  <sheetData>
    <row r="1" spans="1:7" x14ac:dyDescent="0.2">
      <c r="A1" s="590" t="s">
        <v>443</v>
      </c>
      <c r="B1" s="591"/>
      <c r="C1" s="591"/>
      <c r="D1" s="591"/>
      <c r="E1" s="591"/>
      <c r="F1" s="591"/>
      <c r="G1" s="592"/>
    </row>
    <row r="2" spans="1:7" x14ac:dyDescent="0.2">
      <c r="A2" s="593" t="s">
        <v>1</v>
      </c>
      <c r="B2" s="594"/>
      <c r="C2" s="594"/>
      <c r="D2" s="594"/>
      <c r="E2" s="594"/>
      <c r="F2" s="594"/>
      <c r="G2" s="595"/>
    </row>
    <row r="3" spans="1:7" ht="10.15" customHeight="1" x14ac:dyDescent="0.2">
      <c r="A3" s="596" t="str">
        <f>Produksi!A3</f>
        <v>TAHUN 2025</v>
      </c>
      <c r="B3" s="597"/>
      <c r="C3" s="597"/>
      <c r="D3" s="597"/>
      <c r="E3" s="597"/>
      <c r="F3" s="597"/>
      <c r="G3" s="598"/>
    </row>
    <row r="4" spans="1:7" ht="14.45" customHeight="1" x14ac:dyDescent="0.2">
      <c r="A4" s="602" t="s">
        <v>48</v>
      </c>
      <c r="B4" s="602"/>
      <c r="C4" s="602"/>
      <c r="D4" s="611" t="s">
        <v>442</v>
      </c>
      <c r="E4" s="603" t="s">
        <v>380</v>
      </c>
      <c r="F4" s="420" t="s">
        <v>440</v>
      </c>
      <c r="G4" s="602" t="s">
        <v>430</v>
      </c>
    </row>
    <row r="5" spans="1:7" ht="14.45" customHeight="1" x14ac:dyDescent="0.2">
      <c r="A5" s="604" t="s">
        <v>49</v>
      </c>
      <c r="B5" s="604"/>
      <c r="C5" s="604"/>
      <c r="D5" s="612"/>
      <c r="E5" s="603"/>
      <c r="F5" s="420" t="s">
        <v>47</v>
      </c>
      <c r="G5" s="602"/>
    </row>
    <row r="6" spans="1:7" x14ac:dyDescent="0.2">
      <c r="A6" s="307" t="s">
        <v>396</v>
      </c>
      <c r="B6" s="308"/>
      <c r="C6" s="308"/>
      <c r="D6" s="421"/>
      <c r="E6" s="421"/>
      <c r="F6" s="421"/>
      <c r="G6" s="46"/>
    </row>
    <row r="7" spans="1:7" x14ac:dyDescent="0.2">
      <c r="A7" s="281">
        <v>1</v>
      </c>
      <c r="B7" s="288" t="s">
        <v>390</v>
      </c>
      <c r="C7" s="288"/>
      <c r="D7" s="422">
        <v>3945</v>
      </c>
      <c r="E7" s="422">
        <v>1</v>
      </c>
      <c r="F7" s="422">
        <f>(D7*E7)</f>
        <v>3945</v>
      </c>
      <c r="G7" s="47"/>
    </row>
    <row r="8" spans="1:7" x14ac:dyDescent="0.2">
      <c r="A8" s="281">
        <v>2</v>
      </c>
      <c r="B8" s="288" t="s">
        <v>397</v>
      </c>
      <c r="C8" s="288"/>
      <c r="D8" s="422">
        <v>579</v>
      </c>
      <c r="E8" s="422">
        <v>1</v>
      </c>
      <c r="F8" s="422">
        <f>(D8*E8)</f>
        <v>579</v>
      </c>
      <c r="G8" s="47" t="s">
        <v>560</v>
      </c>
    </row>
    <row r="9" spans="1:7" x14ac:dyDescent="0.2">
      <c r="A9" s="281">
        <v>3</v>
      </c>
      <c r="B9" s="288" t="s">
        <v>394</v>
      </c>
      <c r="C9" s="288"/>
      <c r="D9" s="422"/>
      <c r="E9" s="422">
        <v>1</v>
      </c>
      <c r="F9" s="422">
        <f>(D9*E9)</f>
        <v>0</v>
      </c>
      <c r="G9" s="47"/>
    </row>
    <row r="10" spans="1:7" x14ac:dyDescent="0.2">
      <c r="A10" s="281">
        <v>4</v>
      </c>
      <c r="B10" s="288" t="s">
        <v>369</v>
      </c>
      <c r="C10" s="288"/>
      <c r="D10" s="422"/>
      <c r="F10" s="423">
        <f>F11+F12</f>
        <v>0</v>
      </c>
      <c r="G10" s="47"/>
    </row>
    <row r="11" spans="1:7" x14ac:dyDescent="0.2">
      <c r="A11" s="281"/>
      <c r="B11" s="288"/>
      <c r="C11" s="282" t="s">
        <v>393</v>
      </c>
      <c r="D11" s="422"/>
      <c r="E11" s="422">
        <v>1</v>
      </c>
      <c r="F11" s="422">
        <f>D11*E11</f>
        <v>0</v>
      </c>
      <c r="G11" s="47"/>
    </row>
    <row r="12" spans="1:7" x14ac:dyDescent="0.2">
      <c r="A12" s="281"/>
      <c r="B12" s="288"/>
      <c r="C12" s="282" t="s">
        <v>54</v>
      </c>
      <c r="D12" s="422"/>
      <c r="E12" s="422">
        <v>0.72</v>
      </c>
      <c r="F12" s="422">
        <f>D12/E12</f>
        <v>0</v>
      </c>
      <c r="G12" s="47" t="s">
        <v>379</v>
      </c>
    </row>
    <row r="13" spans="1:7" x14ac:dyDescent="0.2">
      <c r="A13" s="281"/>
      <c r="B13" s="288"/>
      <c r="C13" s="282"/>
      <c r="D13" s="422"/>
      <c r="E13" s="422"/>
      <c r="F13" s="422"/>
      <c r="G13" s="47"/>
    </row>
    <row r="14" spans="1:7" x14ac:dyDescent="0.2">
      <c r="A14" s="300" t="s">
        <v>55</v>
      </c>
      <c r="B14" s="291"/>
      <c r="C14" s="282"/>
      <c r="D14" s="422"/>
      <c r="E14" s="422"/>
      <c r="F14" s="422"/>
      <c r="G14" s="47"/>
    </row>
    <row r="15" spans="1:7" x14ac:dyDescent="0.2">
      <c r="A15" s="281">
        <v>5</v>
      </c>
      <c r="B15" s="288" t="s">
        <v>370</v>
      </c>
      <c r="C15" s="45"/>
      <c r="D15" s="422"/>
      <c r="E15" s="422">
        <v>1</v>
      </c>
      <c r="F15" s="422">
        <f>D15*E15</f>
        <v>0</v>
      </c>
      <c r="G15" s="47"/>
    </row>
    <row r="16" spans="1:7" x14ac:dyDescent="0.2">
      <c r="A16" s="281">
        <v>6</v>
      </c>
      <c r="B16" s="288" t="s">
        <v>371</v>
      </c>
      <c r="C16" s="45"/>
      <c r="D16" s="422"/>
      <c r="F16" s="423">
        <f>F17+F18+F19</f>
        <v>819.58214417734735</v>
      </c>
      <c r="G16" s="47"/>
    </row>
    <row r="17" spans="1:7" x14ac:dyDescent="0.2">
      <c r="A17" s="281"/>
      <c r="B17" s="288"/>
      <c r="C17" s="45" t="s">
        <v>392</v>
      </c>
      <c r="D17" s="422">
        <v>819.58214417734735</v>
      </c>
      <c r="E17" s="422">
        <v>1</v>
      </c>
      <c r="F17" s="422">
        <f>D17*E17</f>
        <v>819.58214417734735</v>
      </c>
      <c r="G17" s="47"/>
    </row>
    <row r="18" spans="1:7" x14ac:dyDescent="0.2">
      <c r="A18" s="281"/>
      <c r="B18" s="288"/>
      <c r="C18" s="282" t="s">
        <v>381</v>
      </c>
      <c r="D18" s="422"/>
      <c r="E18" s="422">
        <v>2.78</v>
      </c>
      <c r="F18" s="422">
        <f>D18*E18</f>
        <v>0</v>
      </c>
      <c r="G18" s="47" t="s">
        <v>388</v>
      </c>
    </row>
    <row r="19" spans="1:7" x14ac:dyDescent="0.2">
      <c r="A19" s="281"/>
      <c r="B19" s="288"/>
      <c r="C19" s="282" t="s">
        <v>382</v>
      </c>
      <c r="D19" s="422"/>
      <c r="E19" s="422">
        <v>3.57</v>
      </c>
      <c r="F19" s="422">
        <f t="shared" ref="F19" si="0">D19*E19</f>
        <v>0</v>
      </c>
      <c r="G19" s="47" t="s">
        <v>389</v>
      </c>
    </row>
    <row r="20" spans="1:7" x14ac:dyDescent="0.2">
      <c r="A20" s="281">
        <v>7</v>
      </c>
      <c r="B20" s="288" t="s">
        <v>372</v>
      </c>
      <c r="C20" s="282"/>
      <c r="D20" s="422"/>
      <c r="E20" s="422"/>
      <c r="F20" s="422">
        <f>F21+F22</f>
        <v>0</v>
      </c>
      <c r="G20" s="47"/>
    </row>
    <row r="21" spans="1:7" x14ac:dyDescent="0.2">
      <c r="A21" s="281"/>
      <c r="B21" s="288"/>
      <c r="C21" s="282" t="s">
        <v>395</v>
      </c>
      <c r="D21" s="422"/>
      <c r="E21" s="422">
        <v>1</v>
      </c>
      <c r="F21" s="422">
        <f>(D21*E21)</f>
        <v>0</v>
      </c>
      <c r="G21" s="47"/>
    </row>
    <row r="22" spans="1:7" x14ac:dyDescent="0.2">
      <c r="A22" s="281"/>
      <c r="B22" s="288"/>
      <c r="C22" s="282" t="s">
        <v>383</v>
      </c>
      <c r="D22" s="422"/>
      <c r="E22" s="422">
        <v>5</v>
      </c>
      <c r="F22" s="422">
        <f>D22*E22</f>
        <v>0</v>
      </c>
      <c r="G22" s="47" t="s">
        <v>590</v>
      </c>
    </row>
    <row r="23" spans="1:7" x14ac:dyDescent="0.2">
      <c r="A23" s="281">
        <v>8</v>
      </c>
      <c r="B23" s="288" t="s">
        <v>368</v>
      </c>
      <c r="C23" s="45"/>
      <c r="D23" s="422"/>
      <c r="E23" s="422">
        <v>1</v>
      </c>
      <c r="F23" s="422">
        <f t="shared" ref="F23" si="1">D23*E23</f>
        <v>0</v>
      </c>
      <c r="G23" s="47"/>
    </row>
    <row r="24" spans="1:7" x14ac:dyDescent="0.2">
      <c r="A24" s="281"/>
      <c r="B24" s="288"/>
      <c r="C24" s="282"/>
      <c r="D24" s="422"/>
      <c r="E24" s="422"/>
      <c r="F24" s="422"/>
      <c r="G24" s="47"/>
    </row>
    <row r="25" spans="1:7" x14ac:dyDescent="0.2">
      <c r="A25" s="301" t="s">
        <v>59</v>
      </c>
      <c r="B25" s="288"/>
      <c r="C25" s="282"/>
      <c r="D25" s="422"/>
      <c r="E25" s="422"/>
      <c r="F25" s="422"/>
      <c r="G25" s="47"/>
    </row>
    <row r="26" spans="1:7" x14ac:dyDescent="0.2">
      <c r="A26" s="281">
        <v>9</v>
      </c>
      <c r="B26" s="288" t="s">
        <v>384</v>
      </c>
      <c r="C26" s="45"/>
      <c r="D26" s="422"/>
      <c r="E26" s="422"/>
      <c r="F26" s="422">
        <f>F27+F28</f>
        <v>2909</v>
      </c>
      <c r="G26" s="47"/>
    </row>
    <row r="27" spans="1:7" x14ac:dyDescent="0.2">
      <c r="A27" s="281"/>
      <c r="B27" s="66"/>
      <c r="C27" s="45" t="s">
        <v>399</v>
      </c>
      <c r="D27" s="422">
        <v>2909</v>
      </c>
      <c r="E27" s="422">
        <v>1</v>
      </c>
      <c r="F27" s="422">
        <f>D27*E27</f>
        <v>2909</v>
      </c>
      <c r="G27" s="47"/>
    </row>
    <row r="28" spans="1:7" x14ac:dyDescent="0.2">
      <c r="A28" s="281"/>
      <c r="C28" s="282" t="s">
        <v>398</v>
      </c>
      <c r="D28" s="422"/>
      <c r="E28" s="422">
        <v>1</v>
      </c>
      <c r="F28" s="422">
        <f>D28*E28</f>
        <v>0</v>
      </c>
      <c r="G28" s="47"/>
    </row>
    <row r="29" spans="1:7" x14ac:dyDescent="0.2">
      <c r="A29" s="281">
        <v>10</v>
      </c>
      <c r="B29" s="288" t="s">
        <v>375</v>
      </c>
      <c r="C29" s="45"/>
      <c r="D29" s="422"/>
      <c r="E29" s="422">
        <v>1</v>
      </c>
      <c r="F29" s="422">
        <f t="shared" ref="F29:F94" si="2">D29*E29</f>
        <v>0</v>
      </c>
      <c r="G29" s="47"/>
    </row>
    <row r="30" spans="1:7" x14ac:dyDescent="0.2">
      <c r="A30" s="281"/>
      <c r="B30" s="288"/>
      <c r="C30" s="282"/>
      <c r="D30" s="422"/>
      <c r="E30" s="422"/>
      <c r="F30" s="422"/>
      <c r="G30" s="47"/>
    </row>
    <row r="31" spans="1:7" x14ac:dyDescent="0.2">
      <c r="A31" s="301" t="s">
        <v>2</v>
      </c>
      <c r="B31" s="288"/>
      <c r="C31" s="288"/>
      <c r="D31" s="422"/>
      <c r="E31" s="422"/>
      <c r="F31" s="422"/>
      <c r="G31" s="47"/>
    </row>
    <row r="32" spans="1:7" x14ac:dyDescent="0.2">
      <c r="A32" s="301"/>
      <c r="B32" s="292" t="s">
        <v>3</v>
      </c>
      <c r="C32" s="292"/>
      <c r="D32" s="422"/>
      <c r="E32" s="422"/>
      <c r="F32" s="422"/>
      <c r="G32" s="47"/>
    </row>
    <row r="33" spans="1:7" ht="10.15" customHeight="1" x14ac:dyDescent="0.2">
      <c r="A33" s="281">
        <v>11</v>
      </c>
      <c r="B33" s="288" t="s">
        <v>429</v>
      </c>
      <c r="C33" s="45"/>
      <c r="D33" s="422"/>
      <c r="E33" s="422">
        <v>0.68</v>
      </c>
      <c r="F33" s="422">
        <f t="shared" si="2"/>
        <v>0</v>
      </c>
      <c r="G33" s="47" t="s">
        <v>441</v>
      </c>
    </row>
    <row r="34" spans="1:7" x14ac:dyDescent="0.2">
      <c r="A34" s="281">
        <v>12</v>
      </c>
      <c r="B34" s="288" t="s">
        <v>373</v>
      </c>
      <c r="C34" s="45"/>
      <c r="D34" s="422">
        <v>1859</v>
      </c>
      <c r="E34" s="422">
        <v>1</v>
      </c>
      <c r="F34" s="422">
        <f t="shared" si="2"/>
        <v>1859</v>
      </c>
      <c r="G34" s="47"/>
    </row>
    <row r="35" spans="1:7" x14ac:dyDescent="0.2">
      <c r="A35" s="281">
        <v>13</v>
      </c>
      <c r="B35" s="288" t="s">
        <v>374</v>
      </c>
      <c r="C35" s="45"/>
      <c r="D35" s="422"/>
      <c r="E35" s="422">
        <v>1</v>
      </c>
      <c r="F35" s="422">
        <f>D35*E35</f>
        <v>0</v>
      </c>
      <c r="G35" s="47"/>
    </row>
    <row r="36" spans="1:7" x14ac:dyDescent="0.2">
      <c r="A36" s="281">
        <v>14</v>
      </c>
      <c r="B36" s="288" t="s">
        <v>428</v>
      </c>
      <c r="C36" s="45"/>
      <c r="D36" s="422"/>
      <c r="F36" s="423">
        <f>F37+F38</f>
        <v>0</v>
      </c>
      <c r="G36" s="47"/>
    </row>
    <row r="37" spans="1:7" x14ac:dyDescent="0.2">
      <c r="A37" s="281"/>
      <c r="B37" s="288"/>
      <c r="C37" s="45" t="s">
        <v>426</v>
      </c>
      <c r="D37" s="422"/>
      <c r="E37" s="422">
        <v>1</v>
      </c>
      <c r="F37" s="422">
        <f>D37*E37</f>
        <v>0</v>
      </c>
      <c r="G37" s="47"/>
    </row>
    <row r="38" spans="1:7" x14ac:dyDescent="0.2">
      <c r="A38" s="281"/>
      <c r="B38" s="288"/>
      <c r="C38" s="282" t="s">
        <v>427</v>
      </c>
      <c r="D38" s="422"/>
      <c r="E38" s="422">
        <v>5</v>
      </c>
      <c r="F38" s="422">
        <f>D38*E38</f>
        <v>0</v>
      </c>
      <c r="G38" s="47" t="s">
        <v>591</v>
      </c>
    </row>
    <row r="39" spans="1:7" x14ac:dyDescent="0.2">
      <c r="A39" s="281"/>
      <c r="B39" s="288"/>
      <c r="C39" s="282"/>
      <c r="D39" s="422"/>
      <c r="E39" s="422"/>
      <c r="F39" s="422"/>
      <c r="G39" s="47"/>
    </row>
    <row r="40" spans="1:7" x14ac:dyDescent="0.2">
      <c r="A40" s="301" t="s">
        <v>68</v>
      </c>
      <c r="B40" s="288"/>
      <c r="C40" s="282"/>
      <c r="D40" s="422"/>
      <c r="E40" s="422"/>
      <c r="F40" s="422"/>
      <c r="G40" s="47"/>
    </row>
    <row r="41" spans="1:7" x14ac:dyDescent="0.2">
      <c r="A41" s="281">
        <v>15</v>
      </c>
      <c r="B41" s="295" t="s">
        <v>400</v>
      </c>
      <c r="C41" s="45"/>
      <c r="D41" s="422">
        <v>199.90131178285463</v>
      </c>
      <c r="E41" s="422">
        <v>1</v>
      </c>
      <c r="F41" s="422">
        <f>D41*E41</f>
        <v>199.90131178285463</v>
      </c>
      <c r="G41" s="47"/>
    </row>
    <row r="42" spans="1:7" x14ac:dyDescent="0.2">
      <c r="A42" s="281">
        <v>16</v>
      </c>
      <c r="B42" s="295" t="s">
        <v>401</v>
      </c>
      <c r="C42" s="45"/>
      <c r="D42" s="422">
        <v>1465.5749902376765</v>
      </c>
      <c r="E42" s="422">
        <v>1</v>
      </c>
      <c r="F42" s="422">
        <f t="shared" si="2"/>
        <v>1465.5749902376765</v>
      </c>
      <c r="G42" s="47"/>
    </row>
    <row r="43" spans="1:7" x14ac:dyDescent="0.2">
      <c r="A43" s="281">
        <v>17</v>
      </c>
      <c r="B43" s="295" t="s">
        <v>402</v>
      </c>
      <c r="C43" s="45"/>
      <c r="D43" s="422"/>
      <c r="E43" s="422">
        <v>1</v>
      </c>
      <c r="F43" s="422">
        <f t="shared" si="2"/>
        <v>0</v>
      </c>
      <c r="G43" s="47"/>
    </row>
    <row r="44" spans="1:7" x14ac:dyDescent="0.2">
      <c r="A44" s="281">
        <v>18</v>
      </c>
      <c r="B44" s="295" t="s">
        <v>403</v>
      </c>
      <c r="C44" s="45"/>
      <c r="D44" s="422">
        <v>4</v>
      </c>
      <c r="E44" s="422">
        <v>1</v>
      </c>
      <c r="F44" s="422">
        <f t="shared" si="2"/>
        <v>4</v>
      </c>
      <c r="G44" s="47"/>
    </row>
    <row r="45" spans="1:7" x14ac:dyDescent="0.2">
      <c r="A45" s="281">
        <v>19</v>
      </c>
      <c r="B45" s="295" t="s">
        <v>404</v>
      </c>
      <c r="C45" s="45"/>
      <c r="D45" s="422"/>
      <c r="E45" s="422">
        <v>1</v>
      </c>
      <c r="F45" s="422">
        <f t="shared" si="2"/>
        <v>0</v>
      </c>
      <c r="G45" s="47"/>
    </row>
    <row r="46" spans="1:7" x14ac:dyDescent="0.2">
      <c r="A46" s="281">
        <v>20</v>
      </c>
      <c r="B46" s="295" t="s">
        <v>405</v>
      </c>
      <c r="C46" s="45"/>
      <c r="D46" s="422"/>
      <c r="E46" s="422">
        <v>1</v>
      </c>
      <c r="F46" s="422">
        <f t="shared" si="2"/>
        <v>0</v>
      </c>
      <c r="G46" s="47"/>
    </row>
    <row r="47" spans="1:7" x14ac:dyDescent="0.2">
      <c r="A47" s="281">
        <v>21</v>
      </c>
      <c r="B47" s="295" t="s">
        <v>406</v>
      </c>
      <c r="C47" s="45"/>
      <c r="D47" s="422">
        <v>86.070002377843025</v>
      </c>
      <c r="E47" s="422">
        <v>1</v>
      </c>
      <c r="F47" s="422">
        <f t="shared" si="2"/>
        <v>86.070002377843025</v>
      </c>
      <c r="G47" s="47"/>
    </row>
    <row r="48" spans="1:7" x14ac:dyDescent="0.2">
      <c r="A48" s="281">
        <v>22</v>
      </c>
      <c r="B48" s="295" t="s">
        <v>407</v>
      </c>
      <c r="C48" s="45"/>
      <c r="D48" s="422"/>
      <c r="E48" s="422">
        <v>1</v>
      </c>
      <c r="F48" s="422">
        <f t="shared" si="2"/>
        <v>0</v>
      </c>
      <c r="G48" s="47"/>
    </row>
    <row r="49" spans="1:7" x14ac:dyDescent="0.2">
      <c r="A49" s="281">
        <v>23</v>
      </c>
      <c r="B49" s="295" t="s">
        <v>408</v>
      </c>
      <c r="C49" s="45"/>
      <c r="D49" s="422">
        <v>1162.9869798366312</v>
      </c>
      <c r="E49" s="422">
        <v>1</v>
      </c>
      <c r="F49" s="422">
        <f t="shared" si="2"/>
        <v>1162.9869798366312</v>
      </c>
      <c r="G49" s="47"/>
    </row>
    <row r="50" spans="1:7" x14ac:dyDescent="0.2">
      <c r="A50" s="281">
        <v>24</v>
      </c>
      <c r="B50" s="295" t="s">
        <v>409</v>
      </c>
      <c r="C50" s="45"/>
      <c r="D50" s="422">
        <v>904.33954794552403</v>
      </c>
      <c r="E50" s="422">
        <v>1</v>
      </c>
      <c r="F50" s="422">
        <f t="shared" si="2"/>
        <v>904.33954794552403</v>
      </c>
      <c r="G50" s="47"/>
    </row>
    <row r="51" spans="1:7" x14ac:dyDescent="0.2">
      <c r="A51" s="281">
        <v>25</v>
      </c>
      <c r="B51" s="295" t="s">
        <v>410</v>
      </c>
      <c r="C51" s="45"/>
      <c r="D51" s="422"/>
      <c r="E51" s="422">
        <v>1</v>
      </c>
      <c r="F51" s="422">
        <f t="shared" si="2"/>
        <v>0</v>
      </c>
      <c r="G51" s="47"/>
    </row>
    <row r="52" spans="1:7" x14ac:dyDescent="0.2">
      <c r="A52" s="281">
        <v>26</v>
      </c>
      <c r="B52" s="295" t="s">
        <v>411</v>
      </c>
      <c r="C52" s="45"/>
      <c r="D52" s="422">
        <v>883.46330359921456</v>
      </c>
      <c r="E52" s="422">
        <v>1</v>
      </c>
      <c r="F52" s="422">
        <f t="shared" si="2"/>
        <v>883.46330359921456</v>
      </c>
      <c r="G52" s="47"/>
    </row>
    <row r="53" spans="1:7" x14ac:dyDescent="0.2">
      <c r="A53" s="281">
        <v>27</v>
      </c>
      <c r="B53" s="295" t="s">
        <v>412</v>
      </c>
      <c r="C53" s="45"/>
      <c r="D53" s="422"/>
      <c r="E53" s="422">
        <v>1</v>
      </c>
      <c r="F53" s="422">
        <f t="shared" si="2"/>
        <v>0</v>
      </c>
      <c r="G53" s="47"/>
    </row>
    <row r="54" spans="1:7" x14ac:dyDescent="0.2">
      <c r="A54" s="281">
        <v>28</v>
      </c>
      <c r="B54" s="295" t="s">
        <v>4</v>
      </c>
      <c r="C54" s="45"/>
      <c r="D54" s="422"/>
      <c r="E54" s="422">
        <v>1</v>
      </c>
      <c r="F54" s="422">
        <f t="shared" si="2"/>
        <v>0</v>
      </c>
      <c r="G54" s="47"/>
    </row>
    <row r="55" spans="1:7" x14ac:dyDescent="0.2">
      <c r="A55" s="281">
        <v>29</v>
      </c>
      <c r="B55" s="295" t="s">
        <v>413</v>
      </c>
      <c r="C55" s="45"/>
      <c r="D55" s="422">
        <v>585.77853868544048</v>
      </c>
      <c r="E55" s="422">
        <v>1</v>
      </c>
      <c r="F55" s="422">
        <f t="shared" si="2"/>
        <v>585.77853868544048</v>
      </c>
      <c r="G55" s="47"/>
    </row>
    <row r="56" spans="1:7" x14ac:dyDescent="0.2">
      <c r="A56" s="281">
        <v>30</v>
      </c>
      <c r="B56" s="295" t="s">
        <v>414</v>
      </c>
      <c r="C56" s="45"/>
      <c r="D56" s="422"/>
      <c r="E56" s="422">
        <v>1</v>
      </c>
      <c r="F56" s="422">
        <f t="shared" si="2"/>
        <v>0</v>
      </c>
      <c r="G56" s="47"/>
    </row>
    <row r="57" spans="1:7" x14ac:dyDescent="0.2">
      <c r="A57" s="281">
        <v>31</v>
      </c>
      <c r="B57" s="295" t="s">
        <v>415</v>
      </c>
      <c r="C57" s="45"/>
      <c r="D57" s="422"/>
      <c r="E57" s="422">
        <v>1</v>
      </c>
      <c r="F57" s="422">
        <f t="shared" si="2"/>
        <v>0</v>
      </c>
      <c r="G57" s="47"/>
    </row>
    <row r="58" spans="1:7" x14ac:dyDescent="0.2">
      <c r="A58" s="281">
        <v>32</v>
      </c>
      <c r="B58" s="295" t="s">
        <v>416</v>
      </c>
      <c r="C58" s="45"/>
      <c r="D58" s="422"/>
      <c r="E58" s="422">
        <v>1</v>
      </c>
      <c r="F58" s="422">
        <f t="shared" si="2"/>
        <v>0</v>
      </c>
      <c r="G58" s="47"/>
    </row>
    <row r="59" spans="1:7" x14ac:dyDescent="0.2">
      <c r="A59" s="281">
        <v>33</v>
      </c>
      <c r="B59" s="295" t="s">
        <v>417</v>
      </c>
      <c r="C59" s="45"/>
      <c r="D59" s="422"/>
      <c r="E59" s="422">
        <v>1</v>
      </c>
      <c r="F59" s="422">
        <f t="shared" si="2"/>
        <v>0</v>
      </c>
      <c r="G59" s="47"/>
    </row>
    <row r="60" spans="1:7" x14ac:dyDescent="0.2">
      <c r="A60" s="281">
        <v>34</v>
      </c>
      <c r="B60" s="295" t="s">
        <v>418</v>
      </c>
      <c r="C60" s="45"/>
      <c r="D60" s="422"/>
      <c r="E60" s="422">
        <v>1</v>
      </c>
      <c r="F60" s="422">
        <f t="shared" si="2"/>
        <v>0</v>
      </c>
      <c r="G60" s="47"/>
    </row>
    <row r="61" spans="1:7" x14ac:dyDescent="0.2">
      <c r="A61" s="281">
        <v>35</v>
      </c>
      <c r="B61" s="295" t="s">
        <v>419</v>
      </c>
      <c r="C61" s="45"/>
      <c r="D61" s="422"/>
      <c r="E61" s="422">
        <v>1</v>
      </c>
      <c r="F61" s="422">
        <f t="shared" si="2"/>
        <v>0</v>
      </c>
      <c r="G61" s="47"/>
    </row>
    <row r="62" spans="1:7" x14ac:dyDescent="0.2">
      <c r="A62" s="281">
        <v>36</v>
      </c>
      <c r="B62" s="295" t="s">
        <v>420</v>
      </c>
      <c r="C62" s="45"/>
      <c r="D62" s="422">
        <v>183.23814768044039</v>
      </c>
      <c r="E62" s="422">
        <v>1</v>
      </c>
      <c r="F62" s="422">
        <f t="shared" si="2"/>
        <v>183.23814768044039</v>
      </c>
      <c r="G62" s="47"/>
    </row>
    <row r="63" spans="1:7" x14ac:dyDescent="0.2">
      <c r="A63" s="281">
        <v>37</v>
      </c>
      <c r="B63" s="295" t="s">
        <v>421</v>
      </c>
      <c r="C63" s="45"/>
      <c r="D63" s="422">
        <v>87</v>
      </c>
      <c r="E63" s="422">
        <v>1</v>
      </c>
      <c r="F63" s="422">
        <f t="shared" si="2"/>
        <v>87</v>
      </c>
      <c r="G63" s="47"/>
    </row>
    <row r="64" spans="1:7" x14ac:dyDescent="0.2">
      <c r="A64" s="281">
        <v>38</v>
      </c>
      <c r="B64" s="295" t="s">
        <v>422</v>
      </c>
      <c r="C64" s="45"/>
      <c r="D64" s="422"/>
      <c r="E64" s="422">
        <v>1</v>
      </c>
      <c r="F64" s="422">
        <f t="shared" si="2"/>
        <v>0</v>
      </c>
      <c r="G64" s="47"/>
    </row>
    <row r="65" spans="1:7" x14ac:dyDescent="0.2">
      <c r="A65" s="281">
        <v>39</v>
      </c>
      <c r="B65" s="295" t="s">
        <v>423</v>
      </c>
      <c r="C65" s="45"/>
      <c r="D65" s="422"/>
      <c r="E65" s="422">
        <v>1</v>
      </c>
      <c r="F65" s="422">
        <f t="shared" si="2"/>
        <v>0</v>
      </c>
      <c r="G65" s="47"/>
    </row>
    <row r="66" spans="1:7" x14ac:dyDescent="0.2">
      <c r="A66" s="281">
        <v>40</v>
      </c>
      <c r="B66" s="295" t="s">
        <v>5</v>
      </c>
      <c r="C66" s="45"/>
      <c r="D66" s="422"/>
      <c r="E66" s="422">
        <v>1</v>
      </c>
      <c r="F66" s="422">
        <f t="shared" si="2"/>
        <v>0</v>
      </c>
      <c r="G66" s="47"/>
    </row>
    <row r="67" spans="1:7" x14ac:dyDescent="0.2">
      <c r="A67" s="281">
        <v>41</v>
      </c>
      <c r="B67" s="295" t="s">
        <v>6</v>
      </c>
      <c r="C67" s="45"/>
      <c r="D67" s="422"/>
      <c r="E67" s="422">
        <v>1</v>
      </c>
      <c r="F67" s="422">
        <f t="shared" si="2"/>
        <v>0</v>
      </c>
      <c r="G67" s="47"/>
    </row>
    <row r="68" spans="1:7" x14ac:dyDescent="0.2">
      <c r="A68" s="281">
        <v>42</v>
      </c>
      <c r="B68" s="295" t="s">
        <v>7</v>
      </c>
      <c r="C68" s="45"/>
      <c r="D68" s="422"/>
      <c r="E68" s="422">
        <v>1</v>
      </c>
      <c r="F68" s="422">
        <f t="shared" si="2"/>
        <v>0</v>
      </c>
      <c r="G68" s="47"/>
    </row>
    <row r="69" spans="1:7" x14ac:dyDescent="0.2">
      <c r="A69" s="281">
        <v>43</v>
      </c>
      <c r="B69" s="295" t="s">
        <v>424</v>
      </c>
      <c r="C69" s="45"/>
      <c r="D69" s="422"/>
      <c r="E69" s="422">
        <v>1</v>
      </c>
      <c r="F69" s="422">
        <f t="shared" si="2"/>
        <v>0</v>
      </c>
      <c r="G69" s="47"/>
    </row>
    <row r="70" spans="1:7" x14ac:dyDescent="0.2">
      <c r="A70" s="281">
        <v>44</v>
      </c>
      <c r="B70" s="310" t="s">
        <v>8</v>
      </c>
      <c r="C70" s="45"/>
      <c r="D70" s="422">
        <v>50</v>
      </c>
      <c r="E70" s="422">
        <v>1</v>
      </c>
      <c r="F70" s="422">
        <f t="shared" si="2"/>
        <v>50</v>
      </c>
      <c r="G70" s="47"/>
    </row>
    <row r="71" spans="1:7" x14ac:dyDescent="0.2">
      <c r="A71" s="281">
        <v>45</v>
      </c>
      <c r="B71" s="295" t="s">
        <v>9</v>
      </c>
      <c r="C71" s="45"/>
      <c r="D71" s="422"/>
      <c r="E71" s="422">
        <v>1</v>
      </c>
      <c r="F71" s="422">
        <f t="shared" si="2"/>
        <v>0</v>
      </c>
      <c r="G71" s="47"/>
    </row>
    <row r="72" spans="1:7" x14ac:dyDescent="0.2">
      <c r="A72" s="281">
        <v>46</v>
      </c>
      <c r="B72" s="295" t="s">
        <v>10</v>
      </c>
      <c r="C72" s="45"/>
      <c r="D72" s="422"/>
      <c r="E72" s="422">
        <v>1</v>
      </c>
      <c r="F72" s="422">
        <f t="shared" si="2"/>
        <v>0</v>
      </c>
      <c r="G72" s="47"/>
    </row>
    <row r="73" spans="1:7" x14ac:dyDescent="0.2">
      <c r="A73" s="281">
        <v>47</v>
      </c>
      <c r="B73" s="295" t="s">
        <v>11</v>
      </c>
      <c r="C73" s="45"/>
      <c r="D73" s="422"/>
      <c r="E73" s="422">
        <v>1</v>
      </c>
      <c r="F73" s="422">
        <f t="shared" si="2"/>
        <v>0</v>
      </c>
      <c r="G73" s="47"/>
    </row>
    <row r="74" spans="1:7" x14ac:dyDescent="0.2">
      <c r="A74" s="281">
        <v>48</v>
      </c>
      <c r="B74" s="295" t="s">
        <v>12</v>
      </c>
      <c r="C74" s="45"/>
      <c r="D74" s="422"/>
      <c r="E74" s="422">
        <v>1</v>
      </c>
      <c r="F74" s="422">
        <f t="shared" si="2"/>
        <v>0</v>
      </c>
      <c r="G74" s="47"/>
    </row>
    <row r="75" spans="1:7" x14ac:dyDescent="0.2">
      <c r="A75" s="281">
        <v>49</v>
      </c>
      <c r="B75" s="295" t="s">
        <v>13</v>
      </c>
      <c r="C75" s="45"/>
      <c r="D75" s="422">
        <v>68</v>
      </c>
      <c r="E75" s="422">
        <v>1</v>
      </c>
      <c r="F75" s="422">
        <f t="shared" si="2"/>
        <v>68</v>
      </c>
      <c r="G75" s="47"/>
    </row>
    <row r="76" spans="1:7" x14ac:dyDescent="0.2">
      <c r="A76" s="281">
        <v>50</v>
      </c>
      <c r="B76" s="295" t="s">
        <v>14</v>
      </c>
      <c r="C76" s="45"/>
      <c r="D76" s="422"/>
      <c r="E76" s="422">
        <v>1</v>
      </c>
      <c r="F76" s="422">
        <f t="shared" si="2"/>
        <v>0</v>
      </c>
      <c r="G76" s="47"/>
    </row>
    <row r="77" spans="1:7" x14ac:dyDescent="0.2">
      <c r="A77" s="281">
        <v>51</v>
      </c>
      <c r="B77" s="295" t="s">
        <v>15</v>
      </c>
      <c r="C77" s="45"/>
      <c r="D77" s="422">
        <v>56</v>
      </c>
      <c r="E77" s="422">
        <v>1</v>
      </c>
      <c r="F77" s="422">
        <f t="shared" si="2"/>
        <v>56</v>
      </c>
      <c r="G77" s="47"/>
    </row>
    <row r="78" spans="1:7" x14ac:dyDescent="0.2">
      <c r="A78" s="281">
        <v>52</v>
      </c>
      <c r="B78" s="311" t="s">
        <v>16</v>
      </c>
      <c r="C78" s="45"/>
      <c r="D78" s="422"/>
      <c r="E78" s="422">
        <v>1</v>
      </c>
      <c r="F78" s="422">
        <f t="shared" si="2"/>
        <v>0</v>
      </c>
      <c r="G78" s="47"/>
    </row>
    <row r="79" spans="1:7" x14ac:dyDescent="0.2">
      <c r="A79" s="281">
        <v>53</v>
      </c>
      <c r="B79" s="311" t="s">
        <v>17</v>
      </c>
      <c r="C79" s="45"/>
      <c r="D79" s="422"/>
      <c r="E79" s="422">
        <v>1</v>
      </c>
      <c r="F79" s="422">
        <f t="shared" si="2"/>
        <v>0</v>
      </c>
      <c r="G79" s="47"/>
    </row>
    <row r="80" spans="1:7" x14ac:dyDescent="0.2">
      <c r="A80" s="281">
        <v>54</v>
      </c>
      <c r="B80" s="295" t="s">
        <v>18</v>
      </c>
      <c r="C80" s="45"/>
      <c r="D80" s="422">
        <v>382.00386447332943</v>
      </c>
      <c r="E80" s="422">
        <v>1</v>
      </c>
      <c r="F80" s="422">
        <f t="shared" si="2"/>
        <v>382.00386447332943</v>
      </c>
      <c r="G80" s="47"/>
    </row>
    <row r="81" spans="1:7" x14ac:dyDescent="0.2">
      <c r="A81" s="281"/>
      <c r="B81" s="288"/>
      <c r="C81" s="293"/>
      <c r="D81" s="422"/>
      <c r="E81" s="422"/>
      <c r="F81" s="422"/>
      <c r="G81" s="47"/>
    </row>
    <row r="82" spans="1:7" x14ac:dyDescent="0.2">
      <c r="A82" s="302" t="s">
        <v>19</v>
      </c>
      <c r="B82" s="295"/>
      <c r="C82" s="282"/>
      <c r="D82" s="422"/>
      <c r="E82" s="422"/>
      <c r="F82" s="422"/>
      <c r="G82" s="47"/>
    </row>
    <row r="83" spans="1:7" x14ac:dyDescent="0.2">
      <c r="A83" s="281">
        <v>55</v>
      </c>
      <c r="B83" s="288" t="s">
        <v>451</v>
      </c>
      <c r="C83" s="45"/>
      <c r="D83" s="422">
        <v>1465</v>
      </c>
      <c r="E83" s="422">
        <v>1</v>
      </c>
      <c r="F83" s="422">
        <f t="shared" si="2"/>
        <v>1465</v>
      </c>
      <c r="G83" s="47" t="s">
        <v>528</v>
      </c>
    </row>
    <row r="84" spans="1:7" x14ac:dyDescent="0.2">
      <c r="A84" s="281">
        <v>56</v>
      </c>
      <c r="B84" s="295" t="s">
        <v>467</v>
      </c>
      <c r="C84" s="45"/>
      <c r="D84" s="422"/>
      <c r="E84" s="422"/>
      <c r="F84" s="422">
        <f>F85+F86</f>
        <v>430</v>
      </c>
      <c r="G84" s="47" t="s">
        <v>529</v>
      </c>
    </row>
    <row r="85" spans="1:7" x14ac:dyDescent="0.2">
      <c r="A85" s="281"/>
      <c r="B85" s="295"/>
      <c r="C85" s="45" t="s">
        <v>561</v>
      </c>
      <c r="D85" s="422">
        <v>430</v>
      </c>
      <c r="E85" s="422">
        <v>1</v>
      </c>
      <c r="F85" s="422">
        <f t="shared" ref="F85:F87" si="3">D85*E85</f>
        <v>430</v>
      </c>
      <c r="G85" s="47"/>
    </row>
    <row r="86" spans="1:7" x14ac:dyDescent="0.2">
      <c r="A86" s="281"/>
      <c r="B86" s="295"/>
      <c r="C86" s="45" t="s">
        <v>562</v>
      </c>
      <c r="D86" s="422"/>
      <c r="E86" s="422">
        <v>5</v>
      </c>
      <c r="F86" s="422">
        <f t="shared" si="3"/>
        <v>0</v>
      </c>
      <c r="G86" s="47" t="s">
        <v>592</v>
      </c>
    </row>
    <row r="87" spans="1:7" x14ac:dyDescent="0.2">
      <c r="A87" s="281">
        <v>57</v>
      </c>
      <c r="B87" s="295" t="s">
        <v>27</v>
      </c>
      <c r="C87" s="45"/>
      <c r="D87" s="422"/>
      <c r="E87" s="422">
        <v>1</v>
      </c>
      <c r="F87" s="422">
        <f t="shared" si="3"/>
        <v>0</v>
      </c>
      <c r="G87" s="47"/>
    </row>
    <row r="88" spans="1:7" x14ac:dyDescent="0.2">
      <c r="A88" s="281">
        <v>58</v>
      </c>
      <c r="B88" s="295" t="s">
        <v>452</v>
      </c>
      <c r="C88" s="45"/>
      <c r="D88" s="422"/>
      <c r="E88" s="422">
        <v>1</v>
      </c>
      <c r="F88" s="422">
        <f t="shared" si="2"/>
        <v>0</v>
      </c>
      <c r="G88" s="47"/>
    </row>
    <row r="89" spans="1:7" x14ac:dyDescent="0.2">
      <c r="A89" s="281">
        <v>59</v>
      </c>
      <c r="B89" s="288" t="s">
        <v>453</v>
      </c>
      <c r="C89" s="45"/>
      <c r="D89" s="422">
        <v>128</v>
      </c>
      <c r="E89" s="422">
        <v>1</v>
      </c>
      <c r="F89" s="422">
        <f t="shared" si="2"/>
        <v>128</v>
      </c>
      <c r="G89" s="47"/>
    </row>
    <row r="90" spans="1:7" x14ac:dyDescent="0.2">
      <c r="A90" s="281">
        <v>60</v>
      </c>
      <c r="B90" s="288" t="s">
        <v>454</v>
      </c>
      <c r="C90" s="45"/>
      <c r="D90" s="422">
        <v>453.62480858847238</v>
      </c>
      <c r="E90" s="422">
        <v>1</v>
      </c>
      <c r="F90" s="422">
        <f t="shared" si="2"/>
        <v>453.62480858847238</v>
      </c>
      <c r="G90" s="47"/>
    </row>
    <row r="91" spans="1:7" x14ac:dyDescent="0.2">
      <c r="A91" s="281">
        <v>61</v>
      </c>
      <c r="B91" s="288" t="s">
        <v>455</v>
      </c>
      <c r="C91" s="45"/>
      <c r="D91" s="422">
        <v>1745</v>
      </c>
      <c r="E91" s="422">
        <v>1</v>
      </c>
      <c r="F91" s="422">
        <f t="shared" si="2"/>
        <v>1745</v>
      </c>
      <c r="G91" s="47"/>
    </row>
    <row r="92" spans="1:7" x14ac:dyDescent="0.2">
      <c r="A92" s="281">
        <v>62</v>
      </c>
      <c r="B92" s="295" t="s">
        <v>456</v>
      </c>
      <c r="C92" s="45"/>
      <c r="D92" s="422">
        <v>467.37101379105854</v>
      </c>
      <c r="E92" s="422">
        <v>1</v>
      </c>
      <c r="F92" s="422">
        <f t="shared" si="2"/>
        <v>467.37101379105854</v>
      </c>
      <c r="G92" s="47"/>
    </row>
    <row r="93" spans="1:7" x14ac:dyDescent="0.2">
      <c r="A93" s="281">
        <v>63</v>
      </c>
      <c r="B93" s="295" t="s">
        <v>457</v>
      </c>
      <c r="C93" s="45"/>
      <c r="D93" s="422">
        <v>1329</v>
      </c>
      <c r="E93" s="422">
        <v>1</v>
      </c>
      <c r="F93" s="422">
        <f t="shared" si="2"/>
        <v>1329</v>
      </c>
      <c r="G93" s="47"/>
    </row>
    <row r="94" spans="1:7" x14ac:dyDescent="0.2">
      <c r="A94" s="281">
        <v>64</v>
      </c>
      <c r="B94" s="295" t="s">
        <v>458</v>
      </c>
      <c r="C94" s="45"/>
      <c r="D94" s="422">
        <v>440.85614403821103</v>
      </c>
      <c r="E94" s="422">
        <v>1</v>
      </c>
      <c r="F94" s="422">
        <f t="shared" si="2"/>
        <v>440.85614403821103</v>
      </c>
      <c r="G94" s="47"/>
    </row>
    <row r="95" spans="1:7" x14ac:dyDescent="0.2">
      <c r="A95" s="281">
        <v>65</v>
      </c>
      <c r="B95" s="295" t="s">
        <v>632</v>
      </c>
      <c r="C95" s="45"/>
      <c r="D95" s="422">
        <v>2420</v>
      </c>
      <c r="E95" s="422">
        <v>1</v>
      </c>
      <c r="F95" s="422">
        <f t="shared" ref="F95:F156" si="4">D95*E95</f>
        <v>2420</v>
      </c>
      <c r="G95" s="47"/>
    </row>
    <row r="96" spans="1:7" x14ac:dyDescent="0.2">
      <c r="A96" s="281">
        <v>66</v>
      </c>
      <c r="B96" s="295" t="s">
        <v>20</v>
      </c>
      <c r="C96" s="45"/>
      <c r="D96" s="422">
        <v>513</v>
      </c>
      <c r="E96" s="422">
        <v>1</v>
      </c>
      <c r="F96" s="422">
        <f t="shared" si="4"/>
        <v>513</v>
      </c>
      <c r="G96" s="47"/>
    </row>
    <row r="97" spans="1:7" x14ac:dyDescent="0.2">
      <c r="A97" s="281">
        <v>67</v>
      </c>
      <c r="B97" s="295" t="s">
        <v>460</v>
      </c>
      <c r="C97" s="45"/>
      <c r="D97" s="422">
        <v>1043.1987879352141</v>
      </c>
      <c r="E97" s="422">
        <v>1</v>
      </c>
      <c r="F97" s="422">
        <f t="shared" si="4"/>
        <v>1043.1987879352141</v>
      </c>
      <c r="G97" s="47"/>
    </row>
    <row r="98" spans="1:7" x14ac:dyDescent="0.2">
      <c r="A98" s="281">
        <v>68</v>
      </c>
      <c r="B98" s="291" t="s">
        <v>461</v>
      </c>
      <c r="C98" s="45"/>
      <c r="D98" s="422">
        <v>199.41200385185212</v>
      </c>
      <c r="E98" s="422">
        <v>1</v>
      </c>
      <c r="F98" s="422">
        <f t="shared" si="4"/>
        <v>199.41200385185212</v>
      </c>
      <c r="G98" s="47"/>
    </row>
    <row r="99" spans="1:7" x14ac:dyDescent="0.2">
      <c r="A99" s="281">
        <v>69</v>
      </c>
      <c r="B99" s="295" t="s">
        <v>577</v>
      </c>
      <c r="C99" s="45"/>
      <c r="D99" s="422"/>
      <c r="E99" s="422">
        <v>1</v>
      </c>
      <c r="F99" s="422">
        <f t="shared" si="4"/>
        <v>0</v>
      </c>
      <c r="G99" s="47"/>
    </row>
    <row r="100" spans="1:7" x14ac:dyDescent="0.2">
      <c r="A100" s="281">
        <v>70</v>
      </c>
      <c r="B100" s="295" t="s">
        <v>462</v>
      </c>
      <c r="C100" s="45"/>
      <c r="D100" s="422">
        <v>880.30989008076858</v>
      </c>
      <c r="E100" s="422">
        <v>1</v>
      </c>
      <c r="F100" s="422">
        <f t="shared" si="4"/>
        <v>880.30989008076858</v>
      </c>
      <c r="G100" s="47"/>
    </row>
    <row r="101" spans="1:7" x14ac:dyDescent="0.2">
      <c r="A101" s="281">
        <v>71</v>
      </c>
      <c r="B101" s="295" t="s">
        <v>463</v>
      </c>
      <c r="C101" s="45"/>
      <c r="D101" s="422">
        <v>1787</v>
      </c>
      <c r="E101" s="422">
        <v>1</v>
      </c>
      <c r="F101" s="422">
        <f t="shared" si="4"/>
        <v>1787</v>
      </c>
      <c r="G101" s="47"/>
    </row>
    <row r="102" spans="1:7" x14ac:dyDescent="0.2">
      <c r="A102" s="281">
        <v>72</v>
      </c>
      <c r="B102" s="295" t="s">
        <v>464</v>
      </c>
      <c r="C102" s="45"/>
      <c r="D102" s="422"/>
      <c r="E102" s="422">
        <v>1</v>
      </c>
      <c r="F102" s="422">
        <f t="shared" si="4"/>
        <v>0</v>
      </c>
      <c r="G102" s="47"/>
    </row>
    <row r="103" spans="1:7" x14ac:dyDescent="0.2">
      <c r="A103" s="281">
        <v>73</v>
      </c>
      <c r="B103" s="295" t="s">
        <v>465</v>
      </c>
      <c r="C103" s="45"/>
      <c r="D103" s="422">
        <v>248.16902064286708</v>
      </c>
      <c r="E103" s="422">
        <v>1</v>
      </c>
      <c r="F103" s="422">
        <f t="shared" si="4"/>
        <v>248.16902064286708</v>
      </c>
      <c r="G103" s="47"/>
    </row>
    <row r="104" spans="1:7" x14ac:dyDescent="0.2">
      <c r="A104" s="281">
        <v>74</v>
      </c>
      <c r="B104" s="295" t="s">
        <v>466</v>
      </c>
      <c r="C104" s="45"/>
      <c r="D104" s="422">
        <v>734.53099457634596</v>
      </c>
      <c r="E104" s="422">
        <v>1</v>
      </c>
      <c r="F104" s="422">
        <f t="shared" si="4"/>
        <v>734.53099457634596</v>
      </c>
      <c r="G104" s="47"/>
    </row>
    <row r="105" spans="1:7" x14ac:dyDescent="0.2">
      <c r="A105" s="281">
        <v>75</v>
      </c>
      <c r="B105" s="295" t="s">
        <v>468</v>
      </c>
      <c r="C105" s="45"/>
      <c r="D105" s="422"/>
      <c r="E105" s="422">
        <v>1</v>
      </c>
      <c r="F105" s="422">
        <f t="shared" si="4"/>
        <v>0</v>
      </c>
      <c r="G105" s="47"/>
    </row>
    <row r="106" spans="1:7" x14ac:dyDescent="0.2">
      <c r="A106" s="281">
        <v>76</v>
      </c>
      <c r="B106" s="295" t="s">
        <v>469</v>
      </c>
      <c r="C106" s="45"/>
      <c r="D106" s="422"/>
      <c r="E106" s="422">
        <v>1</v>
      </c>
      <c r="F106" s="422">
        <f t="shared" si="4"/>
        <v>0</v>
      </c>
      <c r="G106" s="47"/>
    </row>
    <row r="107" spans="1:7" x14ac:dyDescent="0.2">
      <c r="A107" s="281">
        <v>77</v>
      </c>
      <c r="B107" s="295" t="s">
        <v>21</v>
      </c>
      <c r="C107" s="45"/>
      <c r="D107" s="422"/>
      <c r="E107" s="422">
        <v>1</v>
      </c>
      <c r="F107" s="422">
        <f t="shared" si="4"/>
        <v>0</v>
      </c>
      <c r="G107" s="47"/>
    </row>
    <row r="108" spans="1:7" x14ac:dyDescent="0.2">
      <c r="A108" s="281">
        <v>78</v>
      </c>
      <c r="B108" s="295" t="s">
        <v>22</v>
      </c>
      <c r="C108" s="45"/>
      <c r="D108" s="422"/>
      <c r="E108" s="422">
        <v>1</v>
      </c>
      <c r="F108" s="422">
        <f t="shared" si="4"/>
        <v>0</v>
      </c>
      <c r="G108" s="47"/>
    </row>
    <row r="109" spans="1:7" x14ac:dyDescent="0.2">
      <c r="A109" s="281">
        <v>79</v>
      </c>
      <c r="B109" s="295" t="s">
        <v>470</v>
      </c>
      <c r="C109" s="45"/>
      <c r="D109" s="422"/>
      <c r="E109" s="422">
        <v>1</v>
      </c>
      <c r="F109" s="422">
        <f t="shared" si="4"/>
        <v>0</v>
      </c>
      <c r="G109" s="47"/>
    </row>
    <row r="110" spans="1:7" x14ac:dyDescent="0.2">
      <c r="A110" s="281">
        <v>80</v>
      </c>
      <c r="B110" s="295" t="s">
        <v>471</v>
      </c>
      <c r="C110" s="45"/>
      <c r="D110" s="422"/>
      <c r="E110" s="422">
        <v>1</v>
      </c>
      <c r="F110" s="422">
        <f t="shared" si="4"/>
        <v>0</v>
      </c>
      <c r="G110" s="47"/>
    </row>
    <row r="111" spans="1:7" x14ac:dyDescent="0.2">
      <c r="A111" s="281">
        <v>81</v>
      </c>
      <c r="B111" s="295" t="s">
        <v>472</v>
      </c>
      <c r="C111" s="45"/>
      <c r="D111" s="422">
        <v>500</v>
      </c>
      <c r="E111" s="422">
        <v>1</v>
      </c>
      <c r="F111" s="422">
        <f t="shared" si="4"/>
        <v>500</v>
      </c>
      <c r="G111" s="47"/>
    </row>
    <row r="112" spans="1:7" x14ac:dyDescent="0.2">
      <c r="A112" s="281">
        <v>82</v>
      </c>
      <c r="B112" s="295" t="s">
        <v>473</v>
      </c>
      <c r="C112" s="45"/>
      <c r="D112" s="422"/>
      <c r="E112" s="422">
        <v>1</v>
      </c>
      <c r="F112" s="422">
        <f t="shared" si="4"/>
        <v>0</v>
      </c>
      <c r="G112" s="47"/>
    </row>
    <row r="113" spans="1:12" x14ac:dyDescent="0.2">
      <c r="A113" s="281">
        <v>83</v>
      </c>
      <c r="B113" s="295" t="s">
        <v>23</v>
      </c>
      <c r="C113" s="45"/>
      <c r="D113" s="422"/>
      <c r="E113" s="422">
        <v>1</v>
      </c>
      <c r="F113" s="422">
        <f t="shared" si="4"/>
        <v>0</v>
      </c>
      <c r="G113" s="47"/>
    </row>
    <row r="114" spans="1:12" x14ac:dyDescent="0.2">
      <c r="A114" s="281">
        <v>84</v>
      </c>
      <c r="B114" s="295" t="s">
        <v>24</v>
      </c>
      <c r="C114" s="45"/>
      <c r="D114" s="422"/>
      <c r="E114" s="422">
        <v>1</v>
      </c>
      <c r="F114" s="422">
        <f t="shared" si="4"/>
        <v>0</v>
      </c>
      <c r="G114" s="47"/>
    </row>
    <row r="115" spans="1:12" x14ac:dyDescent="0.2">
      <c r="A115" s="281">
        <v>85</v>
      </c>
      <c r="B115" s="295" t="s">
        <v>25</v>
      </c>
      <c r="C115" s="45"/>
      <c r="D115" s="422"/>
      <c r="E115" s="422">
        <v>1</v>
      </c>
      <c r="F115" s="422">
        <f t="shared" si="4"/>
        <v>0</v>
      </c>
      <c r="G115" s="47"/>
    </row>
    <row r="116" spans="1:12" x14ac:dyDescent="0.2">
      <c r="A116" s="281">
        <v>86</v>
      </c>
      <c r="B116" s="295" t="s">
        <v>26</v>
      </c>
      <c r="C116" s="45"/>
      <c r="D116" s="422"/>
      <c r="E116" s="422">
        <v>1</v>
      </c>
      <c r="F116" s="422">
        <f t="shared" si="4"/>
        <v>0</v>
      </c>
      <c r="G116" s="47"/>
    </row>
    <row r="117" spans="1:12" x14ac:dyDescent="0.2">
      <c r="A117" s="281">
        <v>87</v>
      </c>
      <c r="B117" s="288" t="s">
        <v>173</v>
      </c>
      <c r="C117" s="45"/>
      <c r="D117" s="422"/>
      <c r="E117" s="422">
        <v>1</v>
      </c>
      <c r="F117" s="422">
        <f t="shared" si="4"/>
        <v>0</v>
      </c>
      <c r="G117" s="47"/>
    </row>
    <row r="118" spans="1:12" x14ac:dyDescent="0.2">
      <c r="A118" s="281"/>
      <c r="B118" s="288"/>
      <c r="C118" s="282"/>
      <c r="D118" s="422"/>
      <c r="E118" s="422"/>
      <c r="F118" s="422"/>
      <c r="G118" s="47"/>
    </row>
    <row r="119" spans="1:12" x14ac:dyDescent="0.2">
      <c r="A119" s="302" t="s">
        <v>116</v>
      </c>
      <c r="B119" s="295"/>
      <c r="C119" s="282"/>
      <c r="D119" s="422"/>
      <c r="E119" s="422"/>
      <c r="F119" s="422"/>
      <c r="G119" s="47"/>
    </row>
    <row r="120" spans="1:12" x14ac:dyDescent="0.2">
      <c r="A120" s="303">
        <v>88</v>
      </c>
      <c r="B120" s="288" t="s">
        <v>474</v>
      </c>
      <c r="C120" s="45"/>
      <c r="D120" s="422">
        <v>513</v>
      </c>
      <c r="E120" s="422">
        <v>1</v>
      </c>
      <c r="F120" s="422">
        <f t="shared" si="4"/>
        <v>513</v>
      </c>
      <c r="G120" s="47" t="s">
        <v>322</v>
      </c>
      <c r="I120" s="249"/>
      <c r="J120" s="450"/>
      <c r="K120" s="449"/>
      <c r="L120" s="449"/>
    </row>
    <row r="121" spans="1:12" x14ac:dyDescent="0.2">
      <c r="A121" s="303">
        <v>89</v>
      </c>
      <c r="B121" s="288" t="s">
        <v>475</v>
      </c>
      <c r="C121" s="45"/>
      <c r="D121" s="422">
        <v>150</v>
      </c>
      <c r="E121" s="422">
        <v>1</v>
      </c>
      <c r="F121" s="422">
        <f t="shared" si="4"/>
        <v>150</v>
      </c>
      <c r="G121" s="47" t="s">
        <v>322</v>
      </c>
      <c r="I121" s="21"/>
      <c r="J121" s="451"/>
      <c r="K121" s="259"/>
      <c r="L121" s="313"/>
    </row>
    <row r="122" spans="1:12" x14ac:dyDescent="0.2">
      <c r="A122" s="303">
        <v>90</v>
      </c>
      <c r="B122" s="288" t="s">
        <v>476</v>
      </c>
      <c r="C122" s="45"/>
      <c r="D122" s="422"/>
      <c r="E122" s="422">
        <v>1</v>
      </c>
      <c r="F122" s="422">
        <f t="shared" si="4"/>
        <v>0</v>
      </c>
      <c r="G122" s="47" t="s">
        <v>322</v>
      </c>
      <c r="I122" s="21"/>
      <c r="J122" s="312"/>
      <c r="K122" s="259"/>
      <c r="L122" s="313"/>
    </row>
    <row r="123" spans="1:12" x14ac:dyDescent="0.2">
      <c r="A123" s="303">
        <v>91</v>
      </c>
      <c r="B123" s="288" t="s">
        <v>477</v>
      </c>
      <c r="C123" s="45"/>
      <c r="D123" s="422"/>
      <c r="E123" s="422">
        <v>1</v>
      </c>
      <c r="F123" s="422">
        <f t="shared" si="4"/>
        <v>0</v>
      </c>
      <c r="G123" s="47" t="s">
        <v>322</v>
      </c>
      <c r="I123" s="21"/>
      <c r="J123" s="312"/>
      <c r="K123" s="259"/>
      <c r="L123" s="313"/>
    </row>
    <row r="124" spans="1:12" x14ac:dyDescent="0.2">
      <c r="A124" s="303">
        <v>92</v>
      </c>
      <c r="B124" s="288" t="s">
        <v>478</v>
      </c>
      <c r="C124" s="45"/>
      <c r="D124" s="422"/>
      <c r="E124" s="422">
        <v>1</v>
      </c>
      <c r="F124" s="422">
        <f t="shared" si="4"/>
        <v>0</v>
      </c>
      <c r="G124" s="47" t="s">
        <v>322</v>
      </c>
      <c r="I124" s="21"/>
      <c r="J124" s="312"/>
      <c r="K124" s="259"/>
      <c r="L124" s="313"/>
    </row>
    <row r="125" spans="1:12" x14ac:dyDescent="0.2">
      <c r="A125" s="303">
        <v>93</v>
      </c>
      <c r="B125" s="288" t="s">
        <v>479</v>
      </c>
      <c r="C125" s="45"/>
      <c r="D125" s="422"/>
      <c r="E125" s="422">
        <v>1</v>
      </c>
      <c r="F125" s="422">
        <f t="shared" si="4"/>
        <v>0</v>
      </c>
      <c r="G125" s="47" t="s">
        <v>322</v>
      </c>
      <c r="I125" s="21"/>
      <c r="J125" s="312"/>
      <c r="K125" s="259"/>
      <c r="L125" s="313"/>
    </row>
    <row r="126" spans="1:12" x14ac:dyDescent="0.2">
      <c r="A126" s="303">
        <v>94</v>
      </c>
      <c r="B126" s="288" t="s">
        <v>480</v>
      </c>
      <c r="C126" s="45"/>
      <c r="D126" s="422">
        <v>1500</v>
      </c>
      <c r="E126" s="422">
        <v>1</v>
      </c>
      <c r="F126" s="422">
        <f t="shared" si="4"/>
        <v>1500</v>
      </c>
      <c r="G126" s="47" t="s">
        <v>435</v>
      </c>
      <c r="I126" s="21"/>
      <c r="J126" s="312"/>
      <c r="K126" s="259"/>
      <c r="L126" s="313"/>
    </row>
    <row r="127" spans="1:12" x14ac:dyDescent="0.2">
      <c r="A127" s="303">
        <v>95</v>
      </c>
      <c r="B127" s="288" t="s">
        <v>600</v>
      </c>
      <c r="C127" s="45"/>
      <c r="D127" s="422">
        <v>3738.2591917103459</v>
      </c>
      <c r="E127" s="422">
        <v>1</v>
      </c>
      <c r="F127" s="422">
        <f t="shared" si="4"/>
        <v>3738.2591917103459</v>
      </c>
      <c r="G127" s="47" t="s">
        <v>435</v>
      </c>
      <c r="I127" s="313"/>
    </row>
    <row r="128" spans="1:12" x14ac:dyDescent="0.2">
      <c r="A128" s="303">
        <v>96</v>
      </c>
      <c r="B128" s="288" t="s">
        <v>481</v>
      </c>
      <c r="C128" s="45"/>
      <c r="D128" s="422">
        <v>550</v>
      </c>
      <c r="E128" s="422">
        <v>1</v>
      </c>
      <c r="F128" s="422">
        <f t="shared" si="4"/>
        <v>550</v>
      </c>
      <c r="G128" s="47" t="s">
        <v>435</v>
      </c>
      <c r="I128" s="313"/>
    </row>
    <row r="129" spans="1:9" x14ac:dyDescent="0.2">
      <c r="A129" s="303">
        <v>97</v>
      </c>
      <c r="B129" s="288" t="s">
        <v>482</v>
      </c>
      <c r="C129" s="45"/>
      <c r="D129" s="422"/>
      <c r="E129" s="422">
        <v>1</v>
      </c>
      <c r="F129" s="422">
        <f t="shared" si="4"/>
        <v>0</v>
      </c>
      <c r="G129" s="47" t="s">
        <v>435</v>
      </c>
      <c r="I129" s="313"/>
    </row>
    <row r="130" spans="1:9" x14ac:dyDescent="0.2">
      <c r="A130" s="303">
        <v>98</v>
      </c>
      <c r="B130" s="288" t="s">
        <v>483</v>
      </c>
      <c r="C130" s="45"/>
      <c r="D130" s="422"/>
      <c r="E130" s="422">
        <v>1</v>
      </c>
      <c r="F130" s="422">
        <f t="shared" si="4"/>
        <v>0</v>
      </c>
      <c r="G130" s="47" t="s">
        <v>576</v>
      </c>
      <c r="I130" s="313"/>
    </row>
    <row r="131" spans="1:9" x14ac:dyDescent="0.2">
      <c r="A131" s="304"/>
      <c r="B131" s="325"/>
      <c r="C131" s="282"/>
      <c r="D131" s="422"/>
      <c r="E131" s="422"/>
      <c r="F131" s="422"/>
      <c r="G131" s="47"/>
    </row>
    <row r="132" spans="1:9" x14ac:dyDescent="0.2">
      <c r="A132" s="301" t="s">
        <v>128</v>
      </c>
      <c r="B132" s="288"/>
      <c r="C132" s="282"/>
      <c r="D132" s="422"/>
      <c r="E132" s="422"/>
      <c r="F132" s="422"/>
      <c r="G132" s="47"/>
    </row>
    <row r="133" spans="1:9" x14ac:dyDescent="0.2">
      <c r="A133" s="281">
        <v>99</v>
      </c>
      <c r="B133" s="291" t="s">
        <v>484</v>
      </c>
      <c r="C133" s="45"/>
      <c r="D133" s="422">
        <v>850</v>
      </c>
      <c r="E133" s="422">
        <v>1</v>
      </c>
      <c r="F133" s="422">
        <f t="shared" si="4"/>
        <v>850</v>
      </c>
      <c r="G133" s="47"/>
    </row>
    <row r="134" spans="1:9" x14ac:dyDescent="0.2">
      <c r="A134" s="281">
        <v>100</v>
      </c>
      <c r="B134" s="291" t="s">
        <v>485</v>
      </c>
      <c r="C134" s="45"/>
      <c r="D134" s="422">
        <v>5712</v>
      </c>
      <c r="E134" s="422">
        <v>1</v>
      </c>
      <c r="F134" s="422">
        <f t="shared" si="4"/>
        <v>5712</v>
      </c>
      <c r="G134" s="47"/>
    </row>
    <row r="135" spans="1:9" x14ac:dyDescent="0.2">
      <c r="A135" s="281">
        <v>101</v>
      </c>
      <c r="B135" s="291" t="s">
        <v>486</v>
      </c>
      <c r="C135" s="45"/>
      <c r="D135" s="422">
        <v>300</v>
      </c>
      <c r="E135" s="422">
        <v>1</v>
      </c>
      <c r="F135" s="422">
        <f t="shared" si="4"/>
        <v>300</v>
      </c>
      <c r="G135" s="47"/>
    </row>
    <row r="136" spans="1:9" x14ac:dyDescent="0.2">
      <c r="A136" s="281">
        <v>102</v>
      </c>
      <c r="B136" s="291" t="s">
        <v>487</v>
      </c>
      <c r="C136" s="45"/>
      <c r="D136" s="422">
        <v>200</v>
      </c>
      <c r="E136" s="422">
        <v>1</v>
      </c>
      <c r="F136" s="422">
        <f t="shared" si="4"/>
        <v>200</v>
      </c>
      <c r="G136" s="47"/>
    </row>
    <row r="137" spans="1:9" x14ac:dyDescent="0.2">
      <c r="A137" s="281"/>
      <c r="B137" s="288"/>
      <c r="C137" s="282"/>
      <c r="D137" s="422"/>
      <c r="E137" s="422"/>
      <c r="F137" s="422"/>
      <c r="G137" s="47"/>
    </row>
    <row r="138" spans="1:9" x14ac:dyDescent="0.2">
      <c r="A138" s="301" t="s">
        <v>132</v>
      </c>
      <c r="B138" s="288"/>
      <c r="C138" s="282"/>
      <c r="D138" s="422"/>
      <c r="E138" s="422"/>
      <c r="F138" s="422"/>
      <c r="G138" s="47"/>
    </row>
    <row r="139" spans="1:9" x14ac:dyDescent="0.2">
      <c r="A139" s="281">
        <v>103</v>
      </c>
      <c r="B139" s="288" t="s">
        <v>488</v>
      </c>
      <c r="C139" s="45"/>
      <c r="D139" s="422"/>
      <c r="E139" s="422">
        <v>1</v>
      </c>
      <c r="F139" s="422">
        <f>D139*E139</f>
        <v>0</v>
      </c>
      <c r="G139" s="47"/>
    </row>
    <row r="140" spans="1:9" x14ac:dyDescent="0.2">
      <c r="A140" s="281">
        <v>104</v>
      </c>
      <c r="B140" s="288" t="s">
        <v>489</v>
      </c>
      <c r="C140" s="45"/>
      <c r="D140" s="422"/>
      <c r="E140" s="422">
        <v>1</v>
      </c>
      <c r="F140" s="422">
        <f>D140*E140</f>
        <v>0</v>
      </c>
      <c r="G140" s="47"/>
    </row>
    <row r="141" spans="1:9" x14ac:dyDescent="0.2">
      <c r="A141" s="281"/>
      <c r="B141" s="288"/>
      <c r="C141" s="282"/>
      <c r="D141" s="422"/>
      <c r="E141" s="422"/>
      <c r="F141" s="422"/>
      <c r="G141" s="47"/>
    </row>
    <row r="142" spans="1:9" x14ac:dyDescent="0.2">
      <c r="A142" s="301" t="s">
        <v>135</v>
      </c>
      <c r="B142" s="288"/>
      <c r="C142" s="282"/>
      <c r="D142" s="422"/>
      <c r="E142" s="422"/>
      <c r="F142" s="422"/>
      <c r="G142" s="47"/>
    </row>
    <row r="143" spans="1:9" x14ac:dyDescent="0.2">
      <c r="A143" s="281">
        <v>105</v>
      </c>
      <c r="B143" s="288" t="s">
        <v>490</v>
      </c>
      <c r="C143" s="45"/>
      <c r="D143" s="422">
        <v>755.94436559547296</v>
      </c>
      <c r="E143" s="422">
        <v>1</v>
      </c>
      <c r="F143" s="422">
        <f>D143*E143</f>
        <v>755.94436559547296</v>
      </c>
      <c r="G143" s="47"/>
    </row>
    <row r="144" spans="1:9" x14ac:dyDescent="0.2">
      <c r="A144" s="281">
        <v>106</v>
      </c>
      <c r="B144" s="288" t="s">
        <v>491</v>
      </c>
      <c r="C144" s="45"/>
      <c r="D144" s="422">
        <v>7.6209018170622498</v>
      </c>
      <c r="E144" s="422">
        <v>1</v>
      </c>
      <c r="F144" s="422">
        <f t="shared" si="4"/>
        <v>7.6209018170622498</v>
      </c>
      <c r="G144" s="47"/>
    </row>
    <row r="145" spans="1:7" x14ac:dyDescent="0.2">
      <c r="A145" s="281">
        <v>107</v>
      </c>
      <c r="B145" s="288" t="s">
        <v>492</v>
      </c>
      <c r="C145" s="45"/>
      <c r="D145" s="422"/>
      <c r="E145" s="422">
        <v>1</v>
      </c>
      <c r="F145" s="422">
        <f t="shared" si="4"/>
        <v>0</v>
      </c>
      <c r="G145" s="47"/>
    </row>
    <row r="146" spans="1:7" x14ac:dyDescent="0.2">
      <c r="A146" s="281">
        <v>108</v>
      </c>
      <c r="B146" s="288" t="s">
        <v>493</v>
      </c>
      <c r="C146" s="45"/>
      <c r="D146" s="422">
        <v>22</v>
      </c>
      <c r="E146" s="422">
        <v>1</v>
      </c>
      <c r="F146" s="422">
        <f t="shared" si="4"/>
        <v>22</v>
      </c>
      <c r="G146" s="47"/>
    </row>
    <row r="147" spans="1:7" x14ac:dyDescent="0.2">
      <c r="A147" s="281">
        <v>109</v>
      </c>
      <c r="B147" s="288" t="s">
        <v>494</v>
      </c>
      <c r="C147" s="45"/>
      <c r="D147" s="422">
        <v>2955</v>
      </c>
      <c r="E147" s="422">
        <v>1</v>
      </c>
      <c r="F147" s="422">
        <f t="shared" si="4"/>
        <v>2955</v>
      </c>
      <c r="G147" s="47"/>
    </row>
    <row r="148" spans="1:7" x14ac:dyDescent="0.2">
      <c r="A148" s="281">
        <v>110</v>
      </c>
      <c r="B148" s="288" t="s">
        <v>495</v>
      </c>
      <c r="C148" s="45"/>
      <c r="D148" s="422"/>
      <c r="E148" s="422">
        <v>1</v>
      </c>
      <c r="F148" s="422">
        <f t="shared" si="4"/>
        <v>0</v>
      </c>
      <c r="G148" s="47"/>
    </row>
    <row r="149" spans="1:7" x14ac:dyDescent="0.2">
      <c r="A149" s="281">
        <v>111</v>
      </c>
      <c r="B149" s="288" t="s">
        <v>496</v>
      </c>
      <c r="C149" s="45"/>
      <c r="D149" s="422">
        <v>63.029507460292699</v>
      </c>
      <c r="E149" s="422">
        <v>1</v>
      </c>
      <c r="F149" s="422">
        <f t="shared" si="4"/>
        <v>63.029507460292699</v>
      </c>
      <c r="G149" s="47"/>
    </row>
    <row r="150" spans="1:7" x14ac:dyDescent="0.2">
      <c r="A150" s="281">
        <v>112</v>
      </c>
      <c r="B150" s="288" t="s">
        <v>497</v>
      </c>
      <c r="C150" s="45"/>
      <c r="D150" s="422">
        <v>6.47630990382926</v>
      </c>
      <c r="E150" s="422">
        <v>1</v>
      </c>
      <c r="F150" s="422">
        <f t="shared" si="4"/>
        <v>6.47630990382926</v>
      </c>
      <c r="G150" s="47"/>
    </row>
    <row r="151" spans="1:7" x14ac:dyDescent="0.2">
      <c r="A151" s="281">
        <v>113</v>
      </c>
      <c r="B151" s="288" t="s">
        <v>498</v>
      </c>
      <c r="C151" s="45"/>
      <c r="D151" s="422">
        <v>1.14090724695353</v>
      </c>
      <c r="E151" s="422">
        <v>1</v>
      </c>
      <c r="F151" s="422">
        <f t="shared" si="4"/>
        <v>1.14090724695353</v>
      </c>
      <c r="G151" s="47"/>
    </row>
    <row r="152" spans="1:7" x14ac:dyDescent="0.2">
      <c r="A152" s="281">
        <v>114</v>
      </c>
      <c r="B152" s="288" t="s">
        <v>499</v>
      </c>
      <c r="C152" s="45"/>
      <c r="D152" s="422"/>
      <c r="E152" s="422">
        <v>1</v>
      </c>
      <c r="F152" s="422">
        <f t="shared" si="4"/>
        <v>0</v>
      </c>
      <c r="G152" s="47"/>
    </row>
    <row r="153" spans="1:7" x14ac:dyDescent="0.2">
      <c r="A153" s="281">
        <v>115</v>
      </c>
      <c r="B153" s="288" t="s">
        <v>500</v>
      </c>
      <c r="C153" s="45"/>
      <c r="D153" s="422">
        <v>40.922301395519497</v>
      </c>
      <c r="E153" s="422">
        <v>1</v>
      </c>
      <c r="F153" s="422">
        <f t="shared" si="4"/>
        <v>40.922301395519497</v>
      </c>
      <c r="G153" s="47"/>
    </row>
    <row r="154" spans="1:7" x14ac:dyDescent="0.2">
      <c r="A154" s="281">
        <v>116</v>
      </c>
      <c r="B154" s="288" t="s">
        <v>501</v>
      </c>
      <c r="C154" s="45"/>
      <c r="D154" s="422">
        <v>178</v>
      </c>
      <c r="E154" s="422">
        <v>1</v>
      </c>
      <c r="F154" s="422">
        <f t="shared" si="4"/>
        <v>178</v>
      </c>
      <c r="G154" s="47"/>
    </row>
    <row r="155" spans="1:7" x14ac:dyDescent="0.2">
      <c r="A155" s="281">
        <v>117</v>
      </c>
      <c r="B155" s="288" t="s">
        <v>502</v>
      </c>
      <c r="C155" s="45"/>
      <c r="D155" s="422">
        <v>858.85</v>
      </c>
      <c r="E155" s="422">
        <v>1</v>
      </c>
      <c r="F155" s="422">
        <f t="shared" si="4"/>
        <v>858.85</v>
      </c>
      <c r="G155" s="47"/>
    </row>
    <row r="156" spans="1:7" x14ac:dyDescent="0.2">
      <c r="A156" s="281">
        <v>118</v>
      </c>
      <c r="B156" s="288" t="s">
        <v>503</v>
      </c>
      <c r="C156" s="45"/>
      <c r="D156" s="422">
        <v>954.65</v>
      </c>
      <c r="E156" s="422">
        <v>1</v>
      </c>
      <c r="F156" s="422">
        <f t="shared" si="4"/>
        <v>954.65</v>
      </c>
      <c r="G156" s="47"/>
    </row>
    <row r="157" spans="1:7" x14ac:dyDescent="0.2">
      <c r="A157" s="281">
        <v>119</v>
      </c>
      <c r="B157" s="288" t="s">
        <v>504</v>
      </c>
      <c r="C157" s="45"/>
      <c r="D157" s="422">
        <v>808.75</v>
      </c>
      <c r="E157" s="422">
        <v>1</v>
      </c>
      <c r="F157" s="422">
        <f t="shared" ref="F157:F192" si="5">D157*E157</f>
        <v>808.75</v>
      </c>
      <c r="G157" s="47"/>
    </row>
    <row r="158" spans="1:7" x14ac:dyDescent="0.2">
      <c r="A158" s="281">
        <v>120</v>
      </c>
      <c r="B158" s="288" t="s">
        <v>505</v>
      </c>
      <c r="C158" s="45"/>
      <c r="D158" s="422"/>
      <c r="E158" s="422">
        <v>1</v>
      </c>
      <c r="F158" s="422">
        <f t="shared" si="5"/>
        <v>0</v>
      </c>
      <c r="G158" s="47"/>
    </row>
    <row r="159" spans="1:7" x14ac:dyDescent="0.2">
      <c r="A159" s="281">
        <v>121</v>
      </c>
      <c r="B159" s="288" t="s">
        <v>506</v>
      </c>
      <c r="C159" s="45"/>
      <c r="D159" s="422">
        <v>239.55</v>
      </c>
      <c r="E159" s="422">
        <v>1</v>
      </c>
      <c r="F159" s="422">
        <f t="shared" si="5"/>
        <v>239.55</v>
      </c>
      <c r="G159" s="47"/>
    </row>
    <row r="160" spans="1:7" x14ac:dyDescent="0.2">
      <c r="A160" s="281">
        <v>122</v>
      </c>
      <c r="B160" s="288" t="s">
        <v>507</v>
      </c>
      <c r="C160" s="45"/>
      <c r="D160" s="422">
        <v>137</v>
      </c>
      <c r="E160" s="422">
        <v>1</v>
      </c>
      <c r="F160" s="422">
        <f t="shared" si="5"/>
        <v>137</v>
      </c>
      <c r="G160" s="47"/>
    </row>
    <row r="161" spans="1:7" x14ac:dyDescent="0.2">
      <c r="A161" s="281">
        <v>123</v>
      </c>
      <c r="B161" s="288" t="s">
        <v>508</v>
      </c>
      <c r="C161" s="45"/>
      <c r="D161" s="422"/>
      <c r="E161" s="422">
        <v>1</v>
      </c>
      <c r="F161" s="422">
        <f t="shared" si="5"/>
        <v>0</v>
      </c>
      <c r="G161" s="47"/>
    </row>
    <row r="162" spans="1:7" x14ac:dyDescent="0.2">
      <c r="A162" s="281">
        <v>124</v>
      </c>
      <c r="B162" s="288" t="s">
        <v>509</v>
      </c>
      <c r="C162" s="45"/>
      <c r="D162" s="422">
        <v>5.75101721917334</v>
      </c>
      <c r="E162" s="422">
        <v>1</v>
      </c>
      <c r="F162" s="422">
        <f t="shared" si="5"/>
        <v>5.75101721917334</v>
      </c>
      <c r="G162" s="47"/>
    </row>
    <row r="163" spans="1:7" x14ac:dyDescent="0.2">
      <c r="A163" s="281">
        <v>125</v>
      </c>
      <c r="B163" s="288" t="s">
        <v>510</v>
      </c>
      <c r="C163" s="45"/>
      <c r="D163" s="422">
        <v>36.886230322514997</v>
      </c>
      <c r="E163" s="422">
        <v>1</v>
      </c>
      <c r="F163" s="422">
        <f t="shared" si="5"/>
        <v>36.886230322514997</v>
      </c>
      <c r="G163" s="47"/>
    </row>
    <row r="164" spans="1:7" x14ac:dyDescent="0.2">
      <c r="A164" s="281">
        <v>126</v>
      </c>
      <c r="B164" s="288" t="s">
        <v>511</v>
      </c>
      <c r="C164" s="45"/>
      <c r="D164" s="422"/>
      <c r="E164" s="422">
        <v>1</v>
      </c>
      <c r="F164" s="422">
        <f t="shared" si="5"/>
        <v>0</v>
      </c>
      <c r="G164" s="47"/>
    </row>
    <row r="165" spans="1:7" x14ac:dyDescent="0.2">
      <c r="A165" s="281">
        <v>127</v>
      </c>
      <c r="B165" s="288" t="s">
        <v>28</v>
      </c>
      <c r="C165" s="45"/>
      <c r="D165" s="422"/>
      <c r="E165" s="422">
        <v>1</v>
      </c>
      <c r="F165" s="422">
        <f t="shared" si="5"/>
        <v>0</v>
      </c>
      <c r="G165" s="47"/>
    </row>
    <row r="166" spans="1:7" x14ac:dyDescent="0.2">
      <c r="A166" s="281">
        <v>128</v>
      </c>
      <c r="B166" s="288" t="s">
        <v>29</v>
      </c>
      <c r="C166" s="45"/>
      <c r="D166" s="422">
        <v>12</v>
      </c>
      <c r="E166" s="422">
        <v>1</v>
      </c>
      <c r="F166" s="422">
        <f t="shared" si="5"/>
        <v>12</v>
      </c>
      <c r="G166" s="47"/>
    </row>
    <row r="167" spans="1:7" x14ac:dyDescent="0.2">
      <c r="A167" s="281">
        <v>129</v>
      </c>
      <c r="B167" s="288" t="s">
        <v>30</v>
      </c>
      <c r="C167" s="45"/>
      <c r="D167" s="422">
        <v>61.8886957985045</v>
      </c>
      <c r="E167" s="422">
        <v>1</v>
      </c>
      <c r="F167" s="422">
        <f t="shared" si="5"/>
        <v>61.8886957985045</v>
      </c>
      <c r="G167" s="47"/>
    </row>
    <row r="168" spans="1:7" x14ac:dyDescent="0.2">
      <c r="A168" s="281">
        <v>130</v>
      </c>
      <c r="B168" s="288" t="s">
        <v>31</v>
      </c>
      <c r="C168" s="45"/>
      <c r="D168" s="422">
        <v>68</v>
      </c>
      <c r="E168" s="422">
        <v>1</v>
      </c>
      <c r="F168" s="422">
        <f t="shared" si="5"/>
        <v>68</v>
      </c>
      <c r="G168" s="47"/>
    </row>
    <row r="169" spans="1:7" x14ac:dyDescent="0.2">
      <c r="A169" s="281">
        <v>131</v>
      </c>
      <c r="B169" s="288" t="s">
        <v>32</v>
      </c>
      <c r="C169" s="45"/>
      <c r="D169" s="422">
        <v>86.943115777277299</v>
      </c>
      <c r="E169" s="422">
        <v>1</v>
      </c>
      <c r="F169" s="422">
        <f t="shared" si="5"/>
        <v>86.943115777277299</v>
      </c>
      <c r="G169" s="47"/>
    </row>
    <row r="170" spans="1:7" x14ac:dyDescent="0.2">
      <c r="A170" s="281">
        <v>132</v>
      </c>
      <c r="B170" s="288" t="s">
        <v>33</v>
      </c>
      <c r="C170" s="45"/>
      <c r="D170" s="422"/>
      <c r="E170" s="422">
        <v>1</v>
      </c>
      <c r="F170" s="422">
        <f t="shared" si="5"/>
        <v>0</v>
      </c>
      <c r="G170" s="47"/>
    </row>
    <row r="171" spans="1:7" x14ac:dyDescent="0.2">
      <c r="A171" s="281">
        <v>133</v>
      </c>
      <c r="B171" s="288" t="s">
        <v>34</v>
      </c>
      <c r="C171" s="45"/>
      <c r="D171" s="422"/>
      <c r="E171" s="422">
        <v>1</v>
      </c>
      <c r="F171" s="422">
        <f t="shared" si="5"/>
        <v>0</v>
      </c>
      <c r="G171" s="47"/>
    </row>
    <row r="172" spans="1:7" x14ac:dyDescent="0.2">
      <c r="A172" s="281">
        <v>134</v>
      </c>
      <c r="B172" s="288" t="s">
        <v>35</v>
      </c>
      <c r="C172" s="45"/>
      <c r="D172" s="422"/>
      <c r="E172" s="422">
        <v>1</v>
      </c>
      <c r="F172" s="422">
        <f t="shared" si="5"/>
        <v>0</v>
      </c>
      <c r="G172" s="47"/>
    </row>
    <row r="173" spans="1:7" x14ac:dyDescent="0.2">
      <c r="A173" s="281">
        <v>135</v>
      </c>
      <c r="B173" s="288" t="s">
        <v>36</v>
      </c>
      <c r="C173" s="45"/>
      <c r="D173" s="422"/>
      <c r="E173" s="422">
        <v>1</v>
      </c>
      <c r="F173" s="422">
        <f t="shared" si="5"/>
        <v>0</v>
      </c>
      <c r="G173" s="47"/>
    </row>
    <row r="174" spans="1:7" x14ac:dyDescent="0.2">
      <c r="A174" s="281">
        <v>136</v>
      </c>
      <c r="B174" s="288" t="s">
        <v>37</v>
      </c>
      <c r="C174" s="45"/>
      <c r="D174" s="422"/>
      <c r="E174" s="422">
        <v>1</v>
      </c>
      <c r="F174" s="422">
        <f t="shared" si="5"/>
        <v>0</v>
      </c>
      <c r="G174" s="47"/>
    </row>
    <row r="175" spans="1:7" x14ac:dyDescent="0.2">
      <c r="A175" s="281">
        <v>137</v>
      </c>
      <c r="B175" s="288" t="s">
        <v>38</v>
      </c>
      <c r="C175" s="45"/>
      <c r="D175" s="422"/>
      <c r="E175" s="422">
        <v>1</v>
      </c>
      <c r="F175" s="422">
        <f t="shared" si="5"/>
        <v>0</v>
      </c>
      <c r="G175" s="47"/>
    </row>
    <row r="176" spans="1:7" x14ac:dyDescent="0.2">
      <c r="A176" s="281">
        <v>138</v>
      </c>
      <c r="B176" s="288" t="s">
        <v>512</v>
      </c>
      <c r="C176" s="45"/>
      <c r="D176" s="422">
        <v>317.52416505506199</v>
      </c>
      <c r="E176" s="422">
        <v>1</v>
      </c>
      <c r="F176" s="422">
        <f t="shared" si="5"/>
        <v>317.52416505506199</v>
      </c>
      <c r="G176" s="47"/>
    </row>
    <row r="177" spans="1:12" x14ac:dyDescent="0.2">
      <c r="A177" s="304"/>
      <c r="B177" s="325"/>
      <c r="C177" s="282"/>
      <c r="D177" s="422"/>
      <c r="E177" s="422"/>
      <c r="F177" s="422"/>
      <c r="G177" s="47"/>
    </row>
    <row r="178" spans="1:12" x14ac:dyDescent="0.2">
      <c r="A178" s="301" t="s">
        <v>39</v>
      </c>
      <c r="B178" s="288"/>
      <c r="C178" s="282"/>
      <c r="D178" s="422"/>
      <c r="E178" s="422"/>
      <c r="F178" s="422"/>
      <c r="G178" s="47"/>
    </row>
    <row r="179" spans="1:12" x14ac:dyDescent="0.2">
      <c r="A179" s="301"/>
      <c r="B179" s="288"/>
      <c r="C179" s="299" t="s">
        <v>40</v>
      </c>
      <c r="D179" s="422"/>
      <c r="E179" s="422"/>
      <c r="F179" s="422"/>
      <c r="G179" s="47"/>
    </row>
    <row r="180" spans="1:12" x14ac:dyDescent="0.2">
      <c r="A180" s="281">
        <v>139</v>
      </c>
      <c r="B180" s="288" t="s">
        <v>513</v>
      </c>
      <c r="C180" s="45"/>
      <c r="D180" s="422"/>
      <c r="E180" s="422">
        <v>0.52</v>
      </c>
      <c r="F180" s="422">
        <f t="shared" si="5"/>
        <v>0</v>
      </c>
      <c r="G180" s="47" t="s">
        <v>444</v>
      </c>
    </row>
    <row r="181" spans="1:12" x14ac:dyDescent="0.2">
      <c r="A181" s="281">
        <v>140</v>
      </c>
      <c r="B181" s="288" t="s">
        <v>514</v>
      </c>
      <c r="C181" s="45"/>
      <c r="D181" s="422"/>
      <c r="E181" s="422">
        <v>1</v>
      </c>
      <c r="F181" s="422">
        <f t="shared" si="5"/>
        <v>0</v>
      </c>
      <c r="G181" s="47"/>
    </row>
    <row r="182" spans="1:12" x14ac:dyDescent="0.2">
      <c r="A182" s="281">
        <v>141</v>
      </c>
      <c r="B182" s="288" t="s">
        <v>515</v>
      </c>
      <c r="C182" s="45"/>
      <c r="D182" s="422">
        <v>5860</v>
      </c>
      <c r="E182" s="422">
        <v>1</v>
      </c>
      <c r="F182" s="422">
        <f t="shared" si="5"/>
        <v>5860</v>
      </c>
      <c r="G182" s="47"/>
    </row>
    <row r="183" spans="1:12" x14ac:dyDescent="0.2">
      <c r="A183" s="281">
        <v>142</v>
      </c>
      <c r="B183" s="288" t="s">
        <v>41</v>
      </c>
      <c r="C183" s="45"/>
      <c r="D183" s="422"/>
      <c r="E183" s="422">
        <v>0.68279999999999996</v>
      </c>
      <c r="F183" s="422">
        <f t="shared" si="5"/>
        <v>0</v>
      </c>
      <c r="G183" s="47" t="s">
        <v>434</v>
      </c>
    </row>
    <row r="184" spans="1:12" x14ac:dyDescent="0.2">
      <c r="A184" s="281">
        <v>143</v>
      </c>
      <c r="B184" s="288" t="s">
        <v>42</v>
      </c>
      <c r="C184" s="45"/>
      <c r="D184" s="422"/>
      <c r="E184" s="422">
        <v>1</v>
      </c>
      <c r="F184" s="422">
        <f t="shared" si="5"/>
        <v>0</v>
      </c>
      <c r="G184" s="47"/>
    </row>
    <row r="185" spans="1:12" x14ac:dyDescent="0.2">
      <c r="A185" s="281">
        <v>144</v>
      </c>
      <c r="B185" s="288" t="s">
        <v>43</v>
      </c>
      <c r="C185" s="45"/>
      <c r="D185" s="422"/>
      <c r="E185" s="422">
        <v>1</v>
      </c>
      <c r="F185" s="422">
        <f t="shared" si="5"/>
        <v>0</v>
      </c>
      <c r="G185" s="47"/>
    </row>
    <row r="186" spans="1:12" x14ac:dyDescent="0.2">
      <c r="A186" s="281">
        <v>145</v>
      </c>
      <c r="B186" s="288" t="s">
        <v>44</v>
      </c>
      <c r="C186" s="45"/>
      <c r="D186" s="422"/>
      <c r="E186" s="422">
        <v>1</v>
      </c>
      <c r="F186" s="422">
        <f t="shared" si="5"/>
        <v>0</v>
      </c>
      <c r="G186" s="47"/>
    </row>
    <row r="187" spans="1:12" x14ac:dyDescent="0.2">
      <c r="A187" s="281"/>
      <c r="B187" s="288"/>
      <c r="C187" s="45"/>
      <c r="D187" s="422"/>
      <c r="E187" s="422"/>
      <c r="F187" s="422">
        <f t="shared" si="5"/>
        <v>0</v>
      </c>
      <c r="G187" s="47"/>
      <c r="I187" s="249"/>
      <c r="J187" s="478"/>
      <c r="K187" s="449"/>
      <c r="L187" s="449"/>
    </row>
    <row r="188" spans="1:12" x14ac:dyDescent="0.2">
      <c r="A188" s="281">
        <v>146</v>
      </c>
      <c r="B188" s="288" t="s">
        <v>516</v>
      </c>
      <c r="C188" s="45"/>
      <c r="D188" s="530">
        <f>F120/0.75</f>
        <v>684</v>
      </c>
      <c r="E188" s="422">
        <v>6.5000000000000002E-2</v>
      </c>
      <c r="F188" s="422">
        <f>D188*E188</f>
        <v>44.46</v>
      </c>
      <c r="G188" s="47" t="s">
        <v>378</v>
      </c>
      <c r="I188" s="21"/>
      <c r="J188" s="451"/>
      <c r="K188" s="259"/>
      <c r="L188" s="313"/>
    </row>
    <row r="189" spans="1:12" x14ac:dyDescent="0.2">
      <c r="A189" s="281">
        <v>147</v>
      </c>
      <c r="B189" s="288" t="s">
        <v>517</v>
      </c>
      <c r="C189" s="45"/>
      <c r="D189" s="530">
        <f>F121/0.7</f>
        <v>214.28571428571431</v>
      </c>
      <c r="E189" s="422">
        <v>4.6899999999999997E-2</v>
      </c>
      <c r="F189" s="422">
        <f t="shared" si="5"/>
        <v>10.050000000000001</v>
      </c>
      <c r="G189" s="47" t="s">
        <v>378</v>
      </c>
      <c r="I189" s="21"/>
      <c r="J189" s="479"/>
      <c r="K189" s="259"/>
      <c r="L189" s="313"/>
    </row>
    <row r="190" spans="1:12" x14ac:dyDescent="0.2">
      <c r="A190" s="281">
        <v>148</v>
      </c>
      <c r="B190" s="288" t="s">
        <v>518</v>
      </c>
      <c r="C190" s="45"/>
      <c r="D190" s="530">
        <f>F122/0.68</f>
        <v>0</v>
      </c>
      <c r="E190" s="422">
        <v>7.8700000000000006E-2</v>
      </c>
      <c r="F190" s="422">
        <f t="shared" si="5"/>
        <v>0</v>
      </c>
      <c r="G190" s="47" t="s">
        <v>378</v>
      </c>
      <c r="I190" s="21"/>
      <c r="J190" s="479"/>
      <c r="K190" s="259"/>
      <c r="L190" s="313"/>
    </row>
    <row r="191" spans="1:12" x14ac:dyDescent="0.2">
      <c r="A191" s="281">
        <v>149</v>
      </c>
      <c r="B191" s="288" t="s">
        <v>519</v>
      </c>
      <c r="C191" s="45"/>
      <c r="D191" s="530">
        <f>F123/0.72</f>
        <v>0</v>
      </c>
      <c r="E191" s="422">
        <v>7.6999999999999999E-2</v>
      </c>
      <c r="F191" s="422">
        <f t="shared" si="5"/>
        <v>0</v>
      </c>
      <c r="G191" s="47" t="s">
        <v>378</v>
      </c>
      <c r="I191" s="21"/>
      <c r="J191" s="479"/>
      <c r="K191" s="259"/>
      <c r="L191" s="313"/>
    </row>
    <row r="192" spans="1:12" x14ac:dyDescent="0.2">
      <c r="A192" s="305">
        <v>150</v>
      </c>
      <c r="B192" s="347" t="s">
        <v>520</v>
      </c>
      <c r="C192" s="48"/>
      <c r="D192" s="531">
        <f>F125/0.67</f>
        <v>0</v>
      </c>
      <c r="E192" s="424">
        <v>0.1192</v>
      </c>
      <c r="F192" s="424">
        <f t="shared" si="5"/>
        <v>0</v>
      </c>
      <c r="G192" s="49" t="s">
        <v>378</v>
      </c>
      <c r="I192" s="21"/>
      <c r="J192" s="479"/>
      <c r="K192" s="259"/>
      <c r="L192" s="313"/>
    </row>
    <row r="193" spans="9:12" x14ac:dyDescent="0.2">
      <c r="I193" s="21"/>
      <c r="J193" s="479"/>
      <c r="K193" s="259"/>
      <c r="L193" s="313"/>
    </row>
  </sheetData>
  <mergeCells count="8">
    <mergeCell ref="A1:G1"/>
    <mergeCell ref="A2:G2"/>
    <mergeCell ref="A3:G3"/>
    <mergeCell ref="A4:C4"/>
    <mergeCell ref="D4:D5"/>
    <mergeCell ref="E4:E5"/>
    <mergeCell ref="G4:G5"/>
    <mergeCell ref="A5:C5"/>
  </mergeCells>
  <pageMargins left="0.7" right="0.7" top="0.75" bottom="0.75" header="0.3" footer="0.3"/>
  <pageSetup orientation="portrait" r:id="rId1"/>
  <ignoredErrors>
    <ignoredError sqref="F36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2"/>
  <sheetViews>
    <sheetView workbookViewId="0">
      <selection activeCell="A3" sqref="A3:G3"/>
    </sheetView>
  </sheetViews>
  <sheetFormatPr defaultColWidth="8.85546875" defaultRowHeight="11.25" x14ac:dyDescent="0.2"/>
  <cols>
    <col min="1" max="1" width="3.28515625" style="249" customWidth="1"/>
    <col min="2" max="2" width="2.7109375" style="249" customWidth="1"/>
    <col min="3" max="3" width="40.7109375" style="22" customWidth="1"/>
    <col min="4" max="4" width="16.28515625" style="423" customWidth="1"/>
    <col min="5" max="5" width="11.85546875" style="423" customWidth="1"/>
    <col min="6" max="6" width="21.140625" style="423" customWidth="1"/>
    <col min="7" max="7" width="33.5703125" style="22" bestFit="1" customWidth="1"/>
    <col min="8" max="8" width="3.5703125" style="22" customWidth="1"/>
    <col min="9" max="9" width="21.7109375" style="22" customWidth="1"/>
    <col min="10" max="16384" width="8.85546875" style="22"/>
  </cols>
  <sheetData>
    <row r="1" spans="1:7" x14ac:dyDescent="0.2">
      <c r="A1" s="590" t="s">
        <v>445</v>
      </c>
      <c r="B1" s="591"/>
      <c r="C1" s="591"/>
      <c r="D1" s="591"/>
      <c r="E1" s="591"/>
      <c r="F1" s="591"/>
      <c r="G1" s="592"/>
    </row>
    <row r="2" spans="1:7" x14ac:dyDescent="0.2">
      <c r="A2" s="593" t="s">
        <v>1</v>
      </c>
      <c r="B2" s="594"/>
      <c r="C2" s="594"/>
      <c r="D2" s="594"/>
      <c r="E2" s="594"/>
      <c r="F2" s="594"/>
      <c r="G2" s="595"/>
    </row>
    <row r="3" spans="1:7" ht="10.15" customHeight="1" x14ac:dyDescent="0.2">
      <c r="A3" s="596" t="str">
        <f>Produksi!A3</f>
        <v>TAHUN 2025</v>
      </c>
      <c r="B3" s="597"/>
      <c r="C3" s="597"/>
      <c r="D3" s="597"/>
      <c r="E3" s="597"/>
      <c r="F3" s="597"/>
      <c r="G3" s="598"/>
    </row>
    <row r="4" spans="1:7" ht="14.45" customHeight="1" x14ac:dyDescent="0.2">
      <c r="A4" s="602" t="s">
        <v>48</v>
      </c>
      <c r="B4" s="602"/>
      <c r="C4" s="602"/>
      <c r="D4" s="613" t="s">
        <v>446</v>
      </c>
      <c r="E4" s="603" t="s">
        <v>380</v>
      </c>
      <c r="F4" s="420" t="s">
        <v>440</v>
      </c>
      <c r="G4" s="602" t="s">
        <v>430</v>
      </c>
    </row>
    <row r="5" spans="1:7" ht="14.45" customHeight="1" x14ac:dyDescent="0.2">
      <c r="A5" s="604" t="s">
        <v>49</v>
      </c>
      <c r="B5" s="604"/>
      <c r="C5" s="604"/>
      <c r="D5" s="614"/>
      <c r="E5" s="603"/>
      <c r="F5" s="420" t="s">
        <v>47</v>
      </c>
      <c r="G5" s="602"/>
    </row>
    <row r="6" spans="1:7" x14ac:dyDescent="0.2">
      <c r="A6" s="307" t="s">
        <v>396</v>
      </c>
      <c r="B6" s="308"/>
      <c r="C6" s="308"/>
      <c r="D6" s="421"/>
      <c r="E6" s="421"/>
      <c r="F6" s="421"/>
      <c r="G6" s="46"/>
    </row>
    <row r="7" spans="1:7" x14ac:dyDescent="0.2">
      <c r="A7" s="301">
        <v>1</v>
      </c>
      <c r="B7" s="288" t="s">
        <v>390</v>
      </c>
      <c r="C7" s="288"/>
      <c r="D7" s="422"/>
      <c r="E7" s="422">
        <v>1</v>
      </c>
      <c r="F7" s="422">
        <f>(D7*E7)</f>
        <v>0</v>
      </c>
      <c r="G7" s="47"/>
    </row>
    <row r="8" spans="1:7" x14ac:dyDescent="0.2">
      <c r="A8" s="301">
        <v>2</v>
      </c>
      <c r="B8" s="288" t="s">
        <v>397</v>
      </c>
      <c r="C8" s="288"/>
      <c r="D8" s="422"/>
      <c r="E8" s="422">
        <v>1</v>
      </c>
      <c r="F8" s="422">
        <f>(D8*E8)</f>
        <v>0</v>
      </c>
      <c r="G8" s="47" t="s">
        <v>560</v>
      </c>
    </row>
    <row r="9" spans="1:7" x14ac:dyDescent="0.2">
      <c r="A9" s="301">
        <v>3</v>
      </c>
      <c r="B9" s="288" t="s">
        <v>394</v>
      </c>
      <c r="C9" s="288"/>
      <c r="D9" s="422"/>
      <c r="E9" s="422">
        <v>1</v>
      </c>
      <c r="F9" s="422">
        <f>(D9*E9)</f>
        <v>0</v>
      </c>
      <c r="G9" s="47"/>
    </row>
    <row r="10" spans="1:7" x14ac:dyDescent="0.2">
      <c r="A10" s="301">
        <v>4</v>
      </c>
      <c r="B10" s="288" t="s">
        <v>369</v>
      </c>
      <c r="C10" s="288"/>
      <c r="D10" s="422"/>
      <c r="F10" s="423">
        <f>F11+F12</f>
        <v>0</v>
      </c>
      <c r="G10" s="47"/>
    </row>
    <row r="11" spans="1:7" x14ac:dyDescent="0.2">
      <c r="A11" s="301"/>
      <c r="B11" s="288"/>
      <c r="C11" s="282" t="s">
        <v>393</v>
      </c>
      <c r="D11" s="422"/>
      <c r="E11" s="422">
        <v>1</v>
      </c>
      <c r="F11" s="422">
        <f>D11*E11</f>
        <v>0</v>
      </c>
      <c r="G11" s="47"/>
    </row>
    <row r="12" spans="1:7" x14ac:dyDescent="0.2">
      <c r="A12" s="301"/>
      <c r="B12" s="288"/>
      <c r="C12" s="282" t="s">
        <v>54</v>
      </c>
      <c r="D12" s="422"/>
      <c r="E12" s="422">
        <v>0.72</v>
      </c>
      <c r="F12" s="422">
        <f>D12/E12</f>
        <v>0</v>
      </c>
      <c r="G12" s="47" t="s">
        <v>379</v>
      </c>
    </row>
    <row r="13" spans="1:7" x14ac:dyDescent="0.2">
      <c r="A13" s="301"/>
      <c r="B13" s="288"/>
      <c r="C13" s="282"/>
      <c r="D13" s="422"/>
      <c r="E13" s="422"/>
      <c r="F13" s="422"/>
      <c r="G13" s="47"/>
    </row>
    <row r="14" spans="1:7" x14ac:dyDescent="0.2">
      <c r="A14" s="300" t="s">
        <v>55</v>
      </c>
      <c r="B14" s="291"/>
      <c r="C14" s="282"/>
      <c r="D14" s="422"/>
      <c r="E14" s="422"/>
      <c r="F14" s="422"/>
      <c r="G14" s="47"/>
    </row>
    <row r="15" spans="1:7" x14ac:dyDescent="0.2">
      <c r="A15" s="301">
        <v>5</v>
      </c>
      <c r="B15" s="288" t="s">
        <v>370</v>
      </c>
      <c r="C15" s="45"/>
      <c r="D15" s="422"/>
      <c r="E15" s="422">
        <v>1</v>
      </c>
      <c r="F15" s="422">
        <f>D15*E15</f>
        <v>0</v>
      </c>
      <c r="G15" s="47"/>
    </row>
    <row r="16" spans="1:7" x14ac:dyDescent="0.2">
      <c r="A16" s="301">
        <v>6</v>
      </c>
      <c r="B16" s="288" t="s">
        <v>371</v>
      </c>
      <c r="C16" s="45"/>
      <c r="D16" s="422"/>
      <c r="F16" s="423">
        <f>F17+F18+F19</f>
        <v>0</v>
      </c>
      <c r="G16" s="47"/>
    </row>
    <row r="17" spans="1:7" x14ac:dyDescent="0.2">
      <c r="A17" s="301"/>
      <c r="B17" s="288"/>
      <c r="C17" s="45" t="s">
        <v>392</v>
      </c>
      <c r="D17" s="422"/>
      <c r="E17" s="422">
        <v>1</v>
      </c>
      <c r="F17" s="422">
        <f>D17*E17</f>
        <v>0</v>
      </c>
      <c r="G17" s="47"/>
    </row>
    <row r="18" spans="1:7" x14ac:dyDescent="0.2">
      <c r="A18" s="301"/>
      <c r="B18" s="288"/>
      <c r="C18" s="282" t="s">
        <v>381</v>
      </c>
      <c r="D18" s="422"/>
      <c r="E18" s="422">
        <v>2.78</v>
      </c>
      <c r="F18" s="422">
        <f>D18*E18</f>
        <v>0</v>
      </c>
      <c r="G18" s="47" t="s">
        <v>388</v>
      </c>
    </row>
    <row r="19" spans="1:7" x14ac:dyDescent="0.2">
      <c r="A19" s="301"/>
      <c r="B19" s="288"/>
      <c r="C19" s="282" t="s">
        <v>382</v>
      </c>
      <c r="D19" s="422"/>
      <c r="E19" s="422">
        <v>3.57</v>
      </c>
      <c r="F19" s="422">
        <f t="shared" ref="F19" si="0">D19*E19</f>
        <v>0</v>
      </c>
      <c r="G19" s="47" t="s">
        <v>389</v>
      </c>
    </row>
    <row r="20" spans="1:7" x14ac:dyDescent="0.2">
      <c r="A20" s="301">
        <v>7</v>
      </c>
      <c r="B20" s="288" t="s">
        <v>372</v>
      </c>
      <c r="C20" s="282"/>
      <c r="D20" s="422"/>
      <c r="E20" s="422"/>
      <c r="F20" s="422">
        <f>F21+F22</f>
        <v>0</v>
      </c>
      <c r="G20" s="47"/>
    </row>
    <row r="21" spans="1:7" x14ac:dyDescent="0.2">
      <c r="A21" s="301"/>
      <c r="B21" s="288"/>
      <c r="C21" s="282" t="s">
        <v>395</v>
      </c>
      <c r="D21" s="422"/>
      <c r="E21" s="422">
        <v>1</v>
      </c>
      <c r="F21" s="422">
        <f>(D21*E21)</f>
        <v>0</v>
      </c>
      <c r="G21" s="47"/>
    </row>
    <row r="22" spans="1:7" x14ac:dyDescent="0.2">
      <c r="A22" s="301"/>
      <c r="B22" s="288"/>
      <c r="C22" s="282" t="s">
        <v>383</v>
      </c>
      <c r="D22" s="422"/>
      <c r="E22" s="422">
        <v>5</v>
      </c>
      <c r="F22" s="422">
        <f>D22*E22</f>
        <v>0</v>
      </c>
      <c r="G22" s="47" t="s">
        <v>590</v>
      </c>
    </row>
    <row r="23" spans="1:7" x14ac:dyDescent="0.2">
      <c r="A23" s="301">
        <v>8</v>
      </c>
      <c r="B23" s="288" t="s">
        <v>368</v>
      </c>
      <c r="C23" s="45"/>
      <c r="D23" s="422"/>
      <c r="E23" s="422">
        <v>1</v>
      </c>
      <c r="F23" s="422">
        <f t="shared" ref="F23" si="1">D23*E23</f>
        <v>0</v>
      </c>
      <c r="G23" s="47"/>
    </row>
    <row r="24" spans="1:7" x14ac:dyDescent="0.2">
      <c r="A24" s="301"/>
      <c r="B24" s="288"/>
      <c r="C24" s="282"/>
      <c r="D24" s="422"/>
      <c r="E24" s="422"/>
      <c r="F24" s="422"/>
      <c r="G24" s="47"/>
    </row>
    <row r="25" spans="1:7" x14ac:dyDescent="0.2">
      <c r="A25" s="301" t="s">
        <v>59</v>
      </c>
      <c r="B25" s="288"/>
      <c r="C25" s="282"/>
      <c r="D25" s="422"/>
      <c r="E25" s="422"/>
      <c r="F25" s="422"/>
      <c r="G25" s="47"/>
    </row>
    <row r="26" spans="1:7" x14ac:dyDescent="0.2">
      <c r="A26" s="301">
        <v>9</v>
      </c>
      <c r="B26" s="288" t="s">
        <v>384</v>
      </c>
      <c r="C26" s="45"/>
      <c r="D26" s="422"/>
      <c r="E26" s="422"/>
      <c r="F26" s="422">
        <f>F27+F28</f>
        <v>0</v>
      </c>
      <c r="G26" s="47"/>
    </row>
    <row r="27" spans="1:7" x14ac:dyDescent="0.2">
      <c r="A27" s="301"/>
      <c r="B27" s="66"/>
      <c r="C27" s="45" t="s">
        <v>399</v>
      </c>
      <c r="D27" s="422"/>
      <c r="E27" s="422">
        <v>1</v>
      </c>
      <c r="F27" s="422">
        <f>D27*E27</f>
        <v>0</v>
      </c>
      <c r="G27" s="47"/>
    </row>
    <row r="28" spans="1:7" x14ac:dyDescent="0.2">
      <c r="A28" s="301"/>
      <c r="C28" s="282" t="s">
        <v>398</v>
      </c>
      <c r="D28" s="422"/>
      <c r="E28" s="422">
        <v>1</v>
      </c>
      <c r="F28" s="422">
        <f>D28*E28</f>
        <v>0</v>
      </c>
      <c r="G28" s="47"/>
    </row>
    <row r="29" spans="1:7" x14ac:dyDescent="0.2">
      <c r="A29" s="301">
        <v>10</v>
      </c>
      <c r="B29" s="288" t="s">
        <v>375</v>
      </c>
      <c r="C29" s="45"/>
      <c r="D29" s="422"/>
      <c r="E29" s="422">
        <v>1</v>
      </c>
      <c r="F29" s="422">
        <f t="shared" ref="F29:F94" si="2">D29*E29</f>
        <v>0</v>
      </c>
      <c r="G29" s="47"/>
    </row>
    <row r="30" spans="1:7" x14ac:dyDescent="0.2">
      <c r="A30" s="301"/>
      <c r="B30" s="288"/>
      <c r="C30" s="282"/>
      <c r="D30" s="422"/>
      <c r="E30" s="422"/>
      <c r="F30" s="422"/>
      <c r="G30" s="47"/>
    </row>
    <row r="31" spans="1:7" x14ac:dyDescent="0.2">
      <c r="A31" s="301" t="s">
        <v>2</v>
      </c>
      <c r="B31" s="288"/>
      <c r="C31" s="288"/>
      <c r="D31" s="422"/>
      <c r="E31" s="422"/>
      <c r="F31" s="422"/>
      <c r="G31" s="47"/>
    </row>
    <row r="32" spans="1:7" x14ac:dyDescent="0.2">
      <c r="A32" s="301"/>
      <c r="B32" s="292" t="s">
        <v>3</v>
      </c>
      <c r="C32" s="292"/>
      <c r="D32" s="422"/>
      <c r="E32" s="422"/>
      <c r="F32" s="422"/>
      <c r="G32" s="47"/>
    </row>
    <row r="33" spans="1:7" ht="10.15" customHeight="1" x14ac:dyDescent="0.2">
      <c r="A33" s="301">
        <v>11</v>
      </c>
      <c r="B33" s="288" t="s">
        <v>429</v>
      </c>
      <c r="C33" s="45"/>
      <c r="D33" s="422"/>
      <c r="E33" s="422">
        <v>0.68</v>
      </c>
      <c r="F33" s="422">
        <f t="shared" ref="F33" si="3">D33*E33</f>
        <v>0</v>
      </c>
      <c r="G33" s="47" t="s">
        <v>441</v>
      </c>
    </row>
    <row r="34" spans="1:7" x14ac:dyDescent="0.2">
      <c r="A34" s="301">
        <v>12</v>
      </c>
      <c r="B34" s="288" t="s">
        <v>373</v>
      </c>
      <c r="C34" s="45"/>
      <c r="D34" s="422"/>
      <c r="E34" s="422">
        <v>1</v>
      </c>
      <c r="F34" s="422">
        <f t="shared" si="2"/>
        <v>0</v>
      </c>
      <c r="G34" s="47"/>
    </row>
    <row r="35" spans="1:7" x14ac:dyDescent="0.2">
      <c r="A35" s="301">
        <v>13</v>
      </c>
      <c r="B35" s="288" t="s">
        <v>374</v>
      </c>
      <c r="C35" s="45"/>
      <c r="D35" s="422"/>
      <c r="E35" s="422">
        <v>1</v>
      </c>
      <c r="F35" s="422">
        <f>D35*E35</f>
        <v>0</v>
      </c>
      <c r="G35" s="47"/>
    </row>
    <row r="36" spans="1:7" x14ac:dyDescent="0.2">
      <c r="A36" s="301">
        <v>14</v>
      </c>
      <c r="B36" s="288" t="s">
        <v>428</v>
      </c>
      <c r="C36" s="45"/>
      <c r="D36" s="422"/>
      <c r="F36" s="423">
        <f>F37+F38</f>
        <v>0</v>
      </c>
      <c r="G36" s="47"/>
    </row>
    <row r="37" spans="1:7" x14ac:dyDescent="0.2">
      <c r="A37" s="301"/>
      <c r="B37" s="288"/>
      <c r="C37" s="45" t="s">
        <v>426</v>
      </c>
      <c r="D37" s="422"/>
      <c r="E37" s="422">
        <v>1</v>
      </c>
      <c r="F37" s="422">
        <f>D37*E37</f>
        <v>0</v>
      </c>
      <c r="G37" s="47"/>
    </row>
    <row r="38" spans="1:7" x14ac:dyDescent="0.2">
      <c r="A38" s="301"/>
      <c r="B38" s="288"/>
      <c r="C38" s="282" t="s">
        <v>427</v>
      </c>
      <c r="D38" s="422"/>
      <c r="E38" s="422">
        <v>5</v>
      </c>
      <c r="F38" s="422">
        <f>D38*E38</f>
        <v>0</v>
      </c>
      <c r="G38" s="47" t="s">
        <v>593</v>
      </c>
    </row>
    <row r="39" spans="1:7" x14ac:dyDescent="0.2">
      <c r="A39" s="301"/>
      <c r="B39" s="288"/>
      <c r="C39" s="282"/>
      <c r="D39" s="422"/>
      <c r="E39" s="422"/>
      <c r="F39" s="422"/>
      <c r="G39" s="47"/>
    </row>
    <row r="40" spans="1:7" x14ac:dyDescent="0.2">
      <c r="A40" s="301" t="s">
        <v>68</v>
      </c>
      <c r="B40" s="288"/>
      <c r="C40" s="282"/>
      <c r="D40" s="422"/>
      <c r="E40" s="422"/>
      <c r="F40" s="422"/>
      <c r="G40" s="47"/>
    </row>
    <row r="41" spans="1:7" x14ac:dyDescent="0.2">
      <c r="A41" s="301">
        <v>15</v>
      </c>
      <c r="B41" s="295" t="s">
        <v>400</v>
      </c>
      <c r="C41" s="45"/>
      <c r="D41" s="422"/>
      <c r="E41" s="422">
        <v>1</v>
      </c>
      <c r="F41" s="422">
        <f>D41*E41</f>
        <v>0</v>
      </c>
      <c r="G41" s="47"/>
    </row>
    <row r="42" spans="1:7" x14ac:dyDescent="0.2">
      <c r="A42" s="301">
        <v>16</v>
      </c>
      <c r="B42" s="295" t="s">
        <v>401</v>
      </c>
      <c r="C42" s="45"/>
      <c r="D42" s="422"/>
      <c r="E42" s="422">
        <v>1</v>
      </c>
      <c r="F42" s="422">
        <f t="shared" si="2"/>
        <v>0</v>
      </c>
      <c r="G42" s="47"/>
    </row>
    <row r="43" spans="1:7" x14ac:dyDescent="0.2">
      <c r="A43" s="301">
        <v>17</v>
      </c>
      <c r="B43" s="295" t="s">
        <v>402</v>
      </c>
      <c r="C43" s="45"/>
      <c r="D43" s="422"/>
      <c r="E43" s="422">
        <v>1</v>
      </c>
      <c r="F43" s="422">
        <f t="shared" si="2"/>
        <v>0</v>
      </c>
      <c r="G43" s="47"/>
    </row>
    <row r="44" spans="1:7" x14ac:dyDescent="0.2">
      <c r="A44" s="301">
        <v>18</v>
      </c>
      <c r="B44" s="295" t="s">
        <v>403</v>
      </c>
      <c r="C44" s="45"/>
      <c r="D44" s="422"/>
      <c r="E44" s="422">
        <v>1</v>
      </c>
      <c r="F44" s="422">
        <f t="shared" si="2"/>
        <v>0</v>
      </c>
      <c r="G44" s="47"/>
    </row>
    <row r="45" spans="1:7" x14ac:dyDescent="0.2">
      <c r="A45" s="301">
        <v>19</v>
      </c>
      <c r="B45" s="295" t="s">
        <v>404</v>
      </c>
      <c r="C45" s="45"/>
      <c r="D45" s="422"/>
      <c r="E45" s="422">
        <v>1</v>
      </c>
      <c r="F45" s="422">
        <f t="shared" si="2"/>
        <v>0</v>
      </c>
      <c r="G45" s="47"/>
    </row>
    <row r="46" spans="1:7" x14ac:dyDescent="0.2">
      <c r="A46" s="301">
        <v>20</v>
      </c>
      <c r="B46" s="295" t="s">
        <v>405</v>
      </c>
      <c r="C46" s="45"/>
      <c r="D46" s="422"/>
      <c r="E46" s="422">
        <v>1</v>
      </c>
      <c r="F46" s="422">
        <f t="shared" si="2"/>
        <v>0</v>
      </c>
      <c r="G46" s="47"/>
    </row>
    <row r="47" spans="1:7" x14ac:dyDescent="0.2">
      <c r="A47" s="301">
        <v>21</v>
      </c>
      <c r="B47" s="295" t="s">
        <v>406</v>
      </c>
      <c r="C47" s="45"/>
      <c r="D47" s="422"/>
      <c r="E47" s="422">
        <v>1</v>
      </c>
      <c r="F47" s="422">
        <f t="shared" si="2"/>
        <v>0</v>
      </c>
      <c r="G47" s="47"/>
    </row>
    <row r="48" spans="1:7" x14ac:dyDescent="0.2">
      <c r="A48" s="301">
        <v>22</v>
      </c>
      <c r="B48" s="295" t="s">
        <v>407</v>
      </c>
      <c r="C48" s="45"/>
      <c r="D48" s="422"/>
      <c r="E48" s="422">
        <v>1</v>
      </c>
      <c r="F48" s="422">
        <f t="shared" si="2"/>
        <v>0</v>
      </c>
      <c r="G48" s="47"/>
    </row>
    <row r="49" spans="1:7" x14ac:dyDescent="0.2">
      <c r="A49" s="301">
        <v>23</v>
      </c>
      <c r="B49" s="295" t="s">
        <v>408</v>
      </c>
      <c r="C49" s="45"/>
      <c r="D49" s="422"/>
      <c r="E49" s="422">
        <v>1</v>
      </c>
      <c r="F49" s="422">
        <f t="shared" si="2"/>
        <v>0</v>
      </c>
      <c r="G49" s="47"/>
    </row>
    <row r="50" spans="1:7" x14ac:dyDescent="0.2">
      <c r="A50" s="301">
        <v>24</v>
      </c>
      <c r="B50" s="295" t="s">
        <v>409</v>
      </c>
      <c r="C50" s="45"/>
      <c r="D50" s="422"/>
      <c r="E50" s="422">
        <v>1</v>
      </c>
      <c r="F50" s="422">
        <f t="shared" si="2"/>
        <v>0</v>
      </c>
      <c r="G50" s="47"/>
    </row>
    <row r="51" spans="1:7" x14ac:dyDescent="0.2">
      <c r="A51" s="301">
        <v>25</v>
      </c>
      <c r="B51" s="295" t="s">
        <v>410</v>
      </c>
      <c r="C51" s="45"/>
      <c r="D51" s="422"/>
      <c r="E51" s="422">
        <v>1</v>
      </c>
      <c r="F51" s="422">
        <f t="shared" si="2"/>
        <v>0</v>
      </c>
      <c r="G51" s="47"/>
    </row>
    <row r="52" spans="1:7" x14ac:dyDescent="0.2">
      <c r="A52" s="301">
        <v>26</v>
      </c>
      <c r="B52" s="295" t="s">
        <v>411</v>
      </c>
      <c r="C52" s="45"/>
      <c r="D52" s="422"/>
      <c r="E52" s="422">
        <v>1</v>
      </c>
      <c r="F52" s="422">
        <f t="shared" si="2"/>
        <v>0</v>
      </c>
      <c r="G52" s="47"/>
    </row>
    <row r="53" spans="1:7" x14ac:dyDescent="0.2">
      <c r="A53" s="301">
        <v>27</v>
      </c>
      <c r="B53" s="295" t="s">
        <v>412</v>
      </c>
      <c r="C53" s="45"/>
      <c r="D53" s="422"/>
      <c r="E53" s="422">
        <v>1</v>
      </c>
      <c r="F53" s="422">
        <f t="shared" si="2"/>
        <v>0</v>
      </c>
      <c r="G53" s="47"/>
    </row>
    <row r="54" spans="1:7" x14ac:dyDescent="0.2">
      <c r="A54" s="301">
        <v>28</v>
      </c>
      <c r="B54" s="295" t="s">
        <v>4</v>
      </c>
      <c r="C54" s="45"/>
      <c r="D54" s="422"/>
      <c r="E54" s="422">
        <v>1</v>
      </c>
      <c r="F54" s="422">
        <f t="shared" si="2"/>
        <v>0</v>
      </c>
      <c r="G54" s="47"/>
    </row>
    <row r="55" spans="1:7" x14ac:dyDescent="0.2">
      <c r="A55" s="301">
        <v>29</v>
      </c>
      <c r="B55" s="295" t="s">
        <v>413</v>
      </c>
      <c r="C55" s="45"/>
      <c r="D55" s="422"/>
      <c r="E55" s="422">
        <v>1</v>
      </c>
      <c r="F55" s="422">
        <f t="shared" si="2"/>
        <v>0</v>
      </c>
      <c r="G55" s="47"/>
    </row>
    <row r="56" spans="1:7" x14ac:dyDescent="0.2">
      <c r="A56" s="301">
        <v>30</v>
      </c>
      <c r="B56" s="295" t="s">
        <v>414</v>
      </c>
      <c r="C56" s="45"/>
      <c r="D56" s="422"/>
      <c r="E56" s="422">
        <v>1</v>
      </c>
      <c r="F56" s="422">
        <f t="shared" si="2"/>
        <v>0</v>
      </c>
      <c r="G56" s="47"/>
    </row>
    <row r="57" spans="1:7" x14ac:dyDescent="0.2">
      <c r="A57" s="301">
        <v>31</v>
      </c>
      <c r="B57" s="295" t="s">
        <v>415</v>
      </c>
      <c r="C57" s="45"/>
      <c r="D57" s="422"/>
      <c r="E57" s="422">
        <v>1</v>
      </c>
      <c r="F57" s="422">
        <f t="shared" si="2"/>
        <v>0</v>
      </c>
      <c r="G57" s="47"/>
    </row>
    <row r="58" spans="1:7" x14ac:dyDescent="0.2">
      <c r="A58" s="301">
        <v>32</v>
      </c>
      <c r="B58" s="295" t="s">
        <v>416</v>
      </c>
      <c r="C58" s="45"/>
      <c r="D58" s="422"/>
      <c r="E58" s="422">
        <v>1</v>
      </c>
      <c r="F58" s="422">
        <f t="shared" si="2"/>
        <v>0</v>
      </c>
      <c r="G58" s="47"/>
    </row>
    <row r="59" spans="1:7" x14ac:dyDescent="0.2">
      <c r="A59" s="301">
        <v>33</v>
      </c>
      <c r="B59" s="295" t="s">
        <v>417</v>
      </c>
      <c r="C59" s="45"/>
      <c r="D59" s="422"/>
      <c r="E59" s="422">
        <v>1</v>
      </c>
      <c r="F59" s="422">
        <f t="shared" si="2"/>
        <v>0</v>
      </c>
      <c r="G59" s="47"/>
    </row>
    <row r="60" spans="1:7" x14ac:dyDescent="0.2">
      <c r="A60" s="301">
        <v>34</v>
      </c>
      <c r="B60" s="295" t="s">
        <v>418</v>
      </c>
      <c r="C60" s="45"/>
      <c r="D60" s="422"/>
      <c r="E60" s="422">
        <v>1</v>
      </c>
      <c r="F60" s="422">
        <f t="shared" si="2"/>
        <v>0</v>
      </c>
      <c r="G60" s="47"/>
    </row>
    <row r="61" spans="1:7" x14ac:dyDescent="0.2">
      <c r="A61" s="301">
        <v>35</v>
      </c>
      <c r="B61" s="295" t="s">
        <v>419</v>
      </c>
      <c r="C61" s="45"/>
      <c r="D61" s="422"/>
      <c r="E61" s="422">
        <v>1</v>
      </c>
      <c r="F61" s="422">
        <f t="shared" si="2"/>
        <v>0</v>
      </c>
      <c r="G61" s="47"/>
    </row>
    <row r="62" spans="1:7" x14ac:dyDescent="0.2">
      <c r="A62" s="301">
        <v>36</v>
      </c>
      <c r="B62" s="295" t="s">
        <v>420</v>
      </c>
      <c r="C62" s="45"/>
      <c r="D62" s="422"/>
      <c r="E62" s="422">
        <v>1</v>
      </c>
      <c r="F62" s="422">
        <f t="shared" si="2"/>
        <v>0</v>
      </c>
      <c r="G62" s="47"/>
    </row>
    <row r="63" spans="1:7" x14ac:dyDescent="0.2">
      <c r="A63" s="301">
        <v>37</v>
      </c>
      <c r="B63" s="295" t="s">
        <v>421</v>
      </c>
      <c r="C63" s="45"/>
      <c r="D63" s="422"/>
      <c r="E63" s="422">
        <v>1</v>
      </c>
      <c r="F63" s="422">
        <f t="shared" si="2"/>
        <v>0</v>
      </c>
      <c r="G63" s="47"/>
    </row>
    <row r="64" spans="1:7" x14ac:dyDescent="0.2">
      <c r="A64" s="301">
        <v>38</v>
      </c>
      <c r="B64" s="295" t="s">
        <v>422</v>
      </c>
      <c r="C64" s="45"/>
      <c r="D64" s="422"/>
      <c r="E64" s="422">
        <v>1</v>
      </c>
      <c r="F64" s="422">
        <f t="shared" si="2"/>
        <v>0</v>
      </c>
      <c r="G64" s="47"/>
    </row>
    <row r="65" spans="1:7" x14ac:dyDescent="0.2">
      <c r="A65" s="301">
        <v>39</v>
      </c>
      <c r="B65" s="295" t="s">
        <v>423</v>
      </c>
      <c r="C65" s="45"/>
      <c r="D65" s="422"/>
      <c r="E65" s="422">
        <v>1</v>
      </c>
      <c r="F65" s="422">
        <f t="shared" si="2"/>
        <v>0</v>
      </c>
      <c r="G65" s="47"/>
    </row>
    <row r="66" spans="1:7" x14ac:dyDescent="0.2">
      <c r="A66" s="301">
        <v>40</v>
      </c>
      <c r="B66" s="295" t="s">
        <v>5</v>
      </c>
      <c r="C66" s="45"/>
      <c r="D66" s="422"/>
      <c r="E66" s="422">
        <v>1</v>
      </c>
      <c r="F66" s="422">
        <f t="shared" si="2"/>
        <v>0</v>
      </c>
      <c r="G66" s="47"/>
    </row>
    <row r="67" spans="1:7" x14ac:dyDescent="0.2">
      <c r="A67" s="301">
        <v>41</v>
      </c>
      <c r="B67" s="295" t="s">
        <v>6</v>
      </c>
      <c r="C67" s="45"/>
      <c r="D67" s="422"/>
      <c r="E67" s="422">
        <v>1</v>
      </c>
      <c r="F67" s="422">
        <f t="shared" si="2"/>
        <v>0</v>
      </c>
      <c r="G67" s="47"/>
    </row>
    <row r="68" spans="1:7" x14ac:dyDescent="0.2">
      <c r="A68" s="301">
        <v>42</v>
      </c>
      <c r="B68" s="295" t="s">
        <v>7</v>
      </c>
      <c r="C68" s="45"/>
      <c r="D68" s="422"/>
      <c r="E68" s="422">
        <v>1</v>
      </c>
      <c r="F68" s="422">
        <f t="shared" si="2"/>
        <v>0</v>
      </c>
      <c r="G68" s="47"/>
    </row>
    <row r="69" spans="1:7" x14ac:dyDescent="0.2">
      <c r="A69" s="301">
        <v>43</v>
      </c>
      <c r="B69" s="295" t="s">
        <v>424</v>
      </c>
      <c r="C69" s="45"/>
      <c r="D69" s="422"/>
      <c r="E69" s="422">
        <v>1</v>
      </c>
      <c r="F69" s="422">
        <f t="shared" si="2"/>
        <v>0</v>
      </c>
      <c r="G69" s="47"/>
    </row>
    <row r="70" spans="1:7" x14ac:dyDescent="0.2">
      <c r="A70" s="301">
        <v>44</v>
      </c>
      <c r="B70" s="310" t="s">
        <v>8</v>
      </c>
      <c r="C70" s="45"/>
      <c r="D70" s="422"/>
      <c r="E70" s="422">
        <v>1</v>
      </c>
      <c r="F70" s="422">
        <f t="shared" si="2"/>
        <v>0</v>
      </c>
      <c r="G70" s="47"/>
    </row>
    <row r="71" spans="1:7" x14ac:dyDescent="0.2">
      <c r="A71" s="301">
        <v>45</v>
      </c>
      <c r="B71" s="295" t="s">
        <v>9</v>
      </c>
      <c r="C71" s="45"/>
      <c r="D71" s="422"/>
      <c r="E71" s="422">
        <v>1</v>
      </c>
      <c r="F71" s="422">
        <f t="shared" si="2"/>
        <v>0</v>
      </c>
      <c r="G71" s="47"/>
    </row>
    <row r="72" spans="1:7" x14ac:dyDescent="0.2">
      <c r="A72" s="301">
        <v>46</v>
      </c>
      <c r="B72" s="295" t="s">
        <v>10</v>
      </c>
      <c r="C72" s="45"/>
      <c r="D72" s="422"/>
      <c r="E72" s="422">
        <v>1</v>
      </c>
      <c r="F72" s="422">
        <f t="shared" si="2"/>
        <v>0</v>
      </c>
      <c r="G72" s="47"/>
    </row>
    <row r="73" spans="1:7" x14ac:dyDescent="0.2">
      <c r="A73" s="301">
        <v>47</v>
      </c>
      <c r="B73" s="295" t="s">
        <v>11</v>
      </c>
      <c r="C73" s="45"/>
      <c r="D73" s="422"/>
      <c r="E73" s="422">
        <v>1</v>
      </c>
      <c r="F73" s="422">
        <f t="shared" si="2"/>
        <v>0</v>
      </c>
      <c r="G73" s="47"/>
    </row>
    <row r="74" spans="1:7" x14ac:dyDescent="0.2">
      <c r="A74" s="301">
        <v>48</v>
      </c>
      <c r="B74" s="295" t="s">
        <v>12</v>
      </c>
      <c r="C74" s="45"/>
      <c r="D74" s="422"/>
      <c r="E74" s="422">
        <v>1</v>
      </c>
      <c r="F74" s="422">
        <f t="shared" si="2"/>
        <v>0</v>
      </c>
      <c r="G74" s="47"/>
    </row>
    <row r="75" spans="1:7" x14ac:dyDescent="0.2">
      <c r="A75" s="301">
        <v>49</v>
      </c>
      <c r="B75" s="295" t="s">
        <v>13</v>
      </c>
      <c r="C75" s="45"/>
      <c r="D75" s="422"/>
      <c r="E75" s="422">
        <v>1</v>
      </c>
      <c r="F75" s="422">
        <f t="shared" si="2"/>
        <v>0</v>
      </c>
      <c r="G75" s="47"/>
    </row>
    <row r="76" spans="1:7" x14ac:dyDescent="0.2">
      <c r="A76" s="301">
        <v>50</v>
      </c>
      <c r="B76" s="295" t="s">
        <v>14</v>
      </c>
      <c r="C76" s="45"/>
      <c r="D76" s="422"/>
      <c r="E76" s="422">
        <v>1</v>
      </c>
      <c r="F76" s="422">
        <f t="shared" si="2"/>
        <v>0</v>
      </c>
      <c r="G76" s="47"/>
    </row>
    <row r="77" spans="1:7" x14ac:dyDescent="0.2">
      <c r="A77" s="301">
        <v>51</v>
      </c>
      <c r="B77" s="295" t="s">
        <v>15</v>
      </c>
      <c r="C77" s="45"/>
      <c r="D77" s="422"/>
      <c r="E77" s="422">
        <v>1</v>
      </c>
      <c r="F77" s="422">
        <f t="shared" si="2"/>
        <v>0</v>
      </c>
      <c r="G77" s="47"/>
    </row>
    <row r="78" spans="1:7" x14ac:dyDescent="0.2">
      <c r="A78" s="301">
        <v>52</v>
      </c>
      <c r="B78" s="311" t="s">
        <v>16</v>
      </c>
      <c r="C78" s="45"/>
      <c r="D78" s="422"/>
      <c r="E78" s="422">
        <v>1</v>
      </c>
      <c r="F78" s="422">
        <f t="shared" si="2"/>
        <v>0</v>
      </c>
      <c r="G78" s="47"/>
    </row>
    <row r="79" spans="1:7" x14ac:dyDescent="0.2">
      <c r="A79" s="301">
        <v>53</v>
      </c>
      <c r="B79" s="311" t="s">
        <v>17</v>
      </c>
      <c r="C79" s="45"/>
      <c r="D79" s="422"/>
      <c r="E79" s="422">
        <v>1</v>
      </c>
      <c r="F79" s="422">
        <f t="shared" si="2"/>
        <v>0</v>
      </c>
      <c r="G79" s="47"/>
    </row>
    <row r="80" spans="1:7" x14ac:dyDescent="0.2">
      <c r="A80" s="301">
        <v>54</v>
      </c>
      <c r="B80" s="295" t="s">
        <v>18</v>
      </c>
      <c r="C80" s="45"/>
      <c r="D80" s="422"/>
      <c r="E80" s="422">
        <v>1</v>
      </c>
      <c r="F80" s="422">
        <f t="shared" si="2"/>
        <v>0</v>
      </c>
      <c r="G80" s="47"/>
    </row>
    <row r="81" spans="1:7" x14ac:dyDescent="0.2">
      <c r="A81" s="301"/>
      <c r="B81" s="288"/>
      <c r="C81" s="293"/>
      <c r="D81" s="422"/>
      <c r="E81" s="422"/>
      <c r="F81" s="422"/>
      <c r="G81" s="47"/>
    </row>
    <row r="82" spans="1:7" x14ac:dyDescent="0.2">
      <c r="A82" s="302" t="s">
        <v>19</v>
      </c>
      <c r="B82" s="295"/>
      <c r="C82" s="282"/>
      <c r="D82" s="422"/>
      <c r="E82" s="422"/>
      <c r="F82" s="422"/>
      <c r="G82" s="47"/>
    </row>
    <row r="83" spans="1:7" x14ac:dyDescent="0.2">
      <c r="A83" s="301">
        <v>55</v>
      </c>
      <c r="B83" s="288" t="s">
        <v>451</v>
      </c>
      <c r="C83" s="45"/>
      <c r="D83" s="422"/>
      <c r="E83" s="422">
        <v>1</v>
      </c>
      <c r="F83" s="422">
        <f t="shared" si="2"/>
        <v>0</v>
      </c>
      <c r="G83" s="47" t="s">
        <v>528</v>
      </c>
    </row>
    <row r="84" spans="1:7" x14ac:dyDescent="0.2">
      <c r="A84" s="301">
        <v>56</v>
      </c>
      <c r="B84" s="295" t="s">
        <v>467</v>
      </c>
      <c r="C84" s="45"/>
      <c r="D84" s="422"/>
      <c r="F84" s="422">
        <f>F85+F86</f>
        <v>0</v>
      </c>
      <c r="G84" s="47"/>
    </row>
    <row r="85" spans="1:7" x14ac:dyDescent="0.2">
      <c r="A85" s="301"/>
      <c r="B85" s="295"/>
      <c r="C85" s="45" t="s">
        <v>561</v>
      </c>
      <c r="D85" s="422"/>
      <c r="E85" s="422">
        <v>1</v>
      </c>
      <c r="F85" s="422">
        <f>E85*D85</f>
        <v>0</v>
      </c>
      <c r="G85" s="47" t="s">
        <v>528</v>
      </c>
    </row>
    <row r="86" spans="1:7" x14ac:dyDescent="0.2">
      <c r="A86" s="301"/>
      <c r="B86" s="295"/>
      <c r="C86" s="45" t="s">
        <v>562</v>
      </c>
      <c r="D86" s="422"/>
      <c r="E86" s="422">
        <v>5</v>
      </c>
      <c r="F86" s="422">
        <f>E86*D86</f>
        <v>0</v>
      </c>
      <c r="G86" s="47" t="s">
        <v>592</v>
      </c>
    </row>
    <row r="87" spans="1:7" x14ac:dyDescent="0.2">
      <c r="A87" s="301">
        <v>57</v>
      </c>
      <c r="B87" s="295" t="s">
        <v>27</v>
      </c>
      <c r="C87" s="45"/>
      <c r="D87" s="422"/>
      <c r="E87" s="422">
        <v>1</v>
      </c>
      <c r="F87" s="422">
        <f t="shared" ref="F87" si="4">D87*E87</f>
        <v>0</v>
      </c>
      <c r="G87" s="47"/>
    </row>
    <row r="88" spans="1:7" x14ac:dyDescent="0.2">
      <c r="A88" s="301">
        <v>58</v>
      </c>
      <c r="B88" s="295" t="s">
        <v>452</v>
      </c>
      <c r="C88" s="45"/>
      <c r="D88" s="422"/>
      <c r="E88" s="422">
        <v>1</v>
      </c>
      <c r="F88" s="422">
        <f t="shared" si="2"/>
        <v>0</v>
      </c>
      <c r="G88" s="47"/>
    </row>
    <row r="89" spans="1:7" x14ac:dyDescent="0.2">
      <c r="A89" s="301">
        <v>59</v>
      </c>
      <c r="B89" s="288" t="s">
        <v>453</v>
      </c>
      <c r="C89" s="45"/>
      <c r="D89" s="422"/>
      <c r="E89" s="422">
        <v>1</v>
      </c>
      <c r="F89" s="422">
        <f t="shared" si="2"/>
        <v>0</v>
      </c>
      <c r="G89" s="47"/>
    </row>
    <row r="90" spans="1:7" x14ac:dyDescent="0.2">
      <c r="A90" s="301">
        <v>60</v>
      </c>
      <c r="B90" s="288" t="s">
        <v>454</v>
      </c>
      <c r="C90" s="45"/>
      <c r="D90" s="422"/>
      <c r="E90" s="422">
        <v>1</v>
      </c>
      <c r="F90" s="422">
        <f t="shared" si="2"/>
        <v>0</v>
      </c>
      <c r="G90" s="47"/>
    </row>
    <row r="91" spans="1:7" x14ac:dyDescent="0.2">
      <c r="A91" s="301">
        <v>61</v>
      </c>
      <c r="B91" s="288" t="s">
        <v>455</v>
      </c>
      <c r="C91" s="45"/>
      <c r="D91" s="422"/>
      <c r="E91" s="422">
        <v>1</v>
      </c>
      <c r="F91" s="422">
        <f t="shared" si="2"/>
        <v>0</v>
      </c>
      <c r="G91" s="47"/>
    </row>
    <row r="92" spans="1:7" x14ac:dyDescent="0.2">
      <c r="A92" s="301">
        <v>62</v>
      </c>
      <c r="B92" s="295" t="s">
        <v>456</v>
      </c>
      <c r="C92" s="45"/>
      <c r="D92" s="422"/>
      <c r="E92" s="422">
        <v>1</v>
      </c>
      <c r="F92" s="422">
        <f t="shared" si="2"/>
        <v>0</v>
      </c>
      <c r="G92" s="47"/>
    </row>
    <row r="93" spans="1:7" x14ac:dyDescent="0.2">
      <c r="A93" s="301">
        <v>63</v>
      </c>
      <c r="B93" s="295" t="s">
        <v>457</v>
      </c>
      <c r="C93" s="45"/>
      <c r="D93" s="422"/>
      <c r="E93" s="422">
        <v>1</v>
      </c>
      <c r="F93" s="422">
        <f t="shared" si="2"/>
        <v>0</v>
      </c>
      <c r="G93" s="47"/>
    </row>
    <row r="94" spans="1:7" x14ac:dyDescent="0.2">
      <c r="A94" s="301">
        <v>64</v>
      </c>
      <c r="B94" s="295" t="s">
        <v>458</v>
      </c>
      <c r="C94" s="45"/>
      <c r="D94" s="422"/>
      <c r="E94" s="422">
        <v>1</v>
      </c>
      <c r="F94" s="422">
        <f t="shared" si="2"/>
        <v>0</v>
      </c>
      <c r="G94" s="47"/>
    </row>
    <row r="95" spans="1:7" x14ac:dyDescent="0.2">
      <c r="A95" s="301">
        <v>65</v>
      </c>
      <c r="B95" s="295" t="s">
        <v>632</v>
      </c>
      <c r="C95" s="45"/>
      <c r="D95" s="422"/>
      <c r="E95" s="422">
        <v>1</v>
      </c>
      <c r="F95" s="422">
        <f t="shared" ref="F95:F156" si="5">D95*E95</f>
        <v>0</v>
      </c>
      <c r="G95" s="47"/>
    </row>
    <row r="96" spans="1:7" x14ac:dyDescent="0.2">
      <c r="A96" s="301">
        <v>66</v>
      </c>
      <c r="B96" s="295" t="s">
        <v>20</v>
      </c>
      <c r="C96" s="45"/>
      <c r="D96" s="422"/>
      <c r="E96" s="422">
        <v>1</v>
      </c>
      <c r="F96" s="422">
        <f t="shared" si="5"/>
        <v>0</v>
      </c>
      <c r="G96" s="47"/>
    </row>
    <row r="97" spans="1:7" x14ac:dyDescent="0.2">
      <c r="A97" s="301">
        <v>67</v>
      </c>
      <c r="B97" s="295" t="s">
        <v>460</v>
      </c>
      <c r="C97" s="45"/>
      <c r="D97" s="422"/>
      <c r="E97" s="422">
        <v>1</v>
      </c>
      <c r="F97" s="422">
        <f t="shared" si="5"/>
        <v>0</v>
      </c>
      <c r="G97" s="47"/>
    </row>
    <row r="98" spans="1:7" x14ac:dyDescent="0.2">
      <c r="A98" s="301">
        <v>68</v>
      </c>
      <c r="B98" s="291" t="s">
        <v>461</v>
      </c>
      <c r="C98" s="45"/>
      <c r="D98" s="422"/>
      <c r="E98" s="422">
        <v>1</v>
      </c>
      <c r="F98" s="422">
        <f t="shared" si="5"/>
        <v>0</v>
      </c>
      <c r="G98" s="47"/>
    </row>
    <row r="99" spans="1:7" x14ac:dyDescent="0.2">
      <c r="A99" s="301">
        <v>69</v>
      </c>
      <c r="B99" s="295" t="s">
        <v>577</v>
      </c>
      <c r="C99" s="45"/>
      <c r="D99" s="422"/>
      <c r="E99" s="422">
        <v>1</v>
      </c>
      <c r="F99" s="422">
        <f t="shared" si="5"/>
        <v>0</v>
      </c>
      <c r="G99" s="47"/>
    </row>
    <row r="100" spans="1:7" x14ac:dyDescent="0.2">
      <c r="A100" s="301">
        <v>70</v>
      </c>
      <c r="B100" s="295" t="s">
        <v>462</v>
      </c>
      <c r="C100" s="45"/>
      <c r="D100" s="422"/>
      <c r="E100" s="422">
        <v>1</v>
      </c>
      <c r="F100" s="422">
        <f t="shared" si="5"/>
        <v>0</v>
      </c>
      <c r="G100" s="47"/>
    </row>
    <row r="101" spans="1:7" x14ac:dyDescent="0.2">
      <c r="A101" s="301">
        <v>71</v>
      </c>
      <c r="B101" s="295" t="s">
        <v>463</v>
      </c>
      <c r="C101" s="45"/>
      <c r="D101" s="422"/>
      <c r="E101" s="422">
        <v>1</v>
      </c>
      <c r="F101" s="422">
        <f t="shared" si="5"/>
        <v>0</v>
      </c>
      <c r="G101" s="47"/>
    </row>
    <row r="102" spans="1:7" x14ac:dyDescent="0.2">
      <c r="A102" s="301">
        <v>72</v>
      </c>
      <c r="B102" s="295" t="s">
        <v>464</v>
      </c>
      <c r="C102" s="45"/>
      <c r="D102" s="422"/>
      <c r="E102" s="422">
        <v>1</v>
      </c>
      <c r="F102" s="422">
        <f t="shared" si="5"/>
        <v>0</v>
      </c>
      <c r="G102" s="47"/>
    </row>
    <row r="103" spans="1:7" x14ac:dyDescent="0.2">
      <c r="A103" s="301">
        <v>73</v>
      </c>
      <c r="B103" s="295" t="s">
        <v>465</v>
      </c>
      <c r="C103" s="45"/>
      <c r="D103" s="422"/>
      <c r="E103" s="422">
        <v>1</v>
      </c>
      <c r="F103" s="422">
        <f t="shared" si="5"/>
        <v>0</v>
      </c>
      <c r="G103" s="47"/>
    </row>
    <row r="104" spans="1:7" x14ac:dyDescent="0.2">
      <c r="A104" s="301">
        <v>74</v>
      </c>
      <c r="B104" s="295" t="s">
        <v>466</v>
      </c>
      <c r="C104" s="45"/>
      <c r="D104" s="422"/>
      <c r="E104" s="422">
        <v>1</v>
      </c>
      <c r="F104" s="422">
        <f t="shared" si="5"/>
        <v>0</v>
      </c>
      <c r="G104" s="47"/>
    </row>
    <row r="105" spans="1:7" x14ac:dyDescent="0.2">
      <c r="A105" s="301">
        <v>75</v>
      </c>
      <c r="B105" s="295" t="s">
        <v>468</v>
      </c>
      <c r="C105" s="45"/>
      <c r="D105" s="422"/>
      <c r="E105" s="422">
        <v>1</v>
      </c>
      <c r="F105" s="422">
        <f t="shared" si="5"/>
        <v>0</v>
      </c>
      <c r="G105" s="47"/>
    </row>
    <row r="106" spans="1:7" x14ac:dyDescent="0.2">
      <c r="A106" s="301">
        <v>76</v>
      </c>
      <c r="B106" s="295" t="s">
        <v>469</v>
      </c>
      <c r="C106" s="45"/>
      <c r="D106" s="422"/>
      <c r="E106" s="422">
        <v>1</v>
      </c>
      <c r="F106" s="422">
        <f t="shared" si="5"/>
        <v>0</v>
      </c>
      <c r="G106" s="47"/>
    </row>
    <row r="107" spans="1:7" x14ac:dyDescent="0.2">
      <c r="A107" s="301">
        <v>77</v>
      </c>
      <c r="B107" s="295" t="s">
        <v>21</v>
      </c>
      <c r="C107" s="45"/>
      <c r="D107" s="422"/>
      <c r="E107" s="422">
        <v>1</v>
      </c>
      <c r="F107" s="422">
        <f t="shared" si="5"/>
        <v>0</v>
      </c>
      <c r="G107" s="47"/>
    </row>
    <row r="108" spans="1:7" x14ac:dyDescent="0.2">
      <c r="A108" s="301">
        <v>78</v>
      </c>
      <c r="B108" s="295" t="s">
        <v>22</v>
      </c>
      <c r="C108" s="45"/>
      <c r="D108" s="422"/>
      <c r="E108" s="422">
        <v>1</v>
      </c>
      <c r="F108" s="422">
        <f t="shared" si="5"/>
        <v>0</v>
      </c>
      <c r="G108" s="47"/>
    </row>
    <row r="109" spans="1:7" x14ac:dyDescent="0.2">
      <c r="A109" s="301">
        <v>79</v>
      </c>
      <c r="B109" s="295" t="s">
        <v>470</v>
      </c>
      <c r="C109" s="45"/>
      <c r="D109" s="422"/>
      <c r="E109" s="422">
        <v>1</v>
      </c>
      <c r="F109" s="422">
        <f t="shared" si="5"/>
        <v>0</v>
      </c>
      <c r="G109" s="47"/>
    </row>
    <row r="110" spans="1:7" x14ac:dyDescent="0.2">
      <c r="A110" s="301">
        <v>80</v>
      </c>
      <c r="B110" s="295" t="s">
        <v>471</v>
      </c>
      <c r="C110" s="45"/>
      <c r="D110" s="422"/>
      <c r="E110" s="422">
        <v>1</v>
      </c>
      <c r="F110" s="422">
        <f t="shared" si="5"/>
        <v>0</v>
      </c>
      <c r="G110" s="47"/>
    </row>
    <row r="111" spans="1:7" x14ac:dyDescent="0.2">
      <c r="A111" s="301">
        <v>81</v>
      </c>
      <c r="B111" s="295" t="s">
        <v>472</v>
      </c>
      <c r="C111" s="45"/>
      <c r="D111" s="422"/>
      <c r="E111" s="422">
        <v>1</v>
      </c>
      <c r="F111" s="422">
        <f t="shared" si="5"/>
        <v>0</v>
      </c>
      <c r="G111" s="47"/>
    </row>
    <row r="112" spans="1:7" x14ac:dyDescent="0.2">
      <c r="A112" s="301">
        <v>82</v>
      </c>
      <c r="B112" s="295" t="s">
        <v>473</v>
      </c>
      <c r="C112" s="45"/>
      <c r="D112" s="422"/>
      <c r="E112" s="422">
        <v>1</v>
      </c>
      <c r="F112" s="422">
        <f t="shared" si="5"/>
        <v>0</v>
      </c>
      <c r="G112" s="47"/>
    </row>
    <row r="113" spans="1:12" x14ac:dyDescent="0.2">
      <c r="A113" s="301">
        <v>83</v>
      </c>
      <c r="B113" s="295" t="s">
        <v>23</v>
      </c>
      <c r="C113" s="45"/>
      <c r="D113" s="422"/>
      <c r="E113" s="422">
        <v>1</v>
      </c>
      <c r="F113" s="422">
        <f t="shared" si="5"/>
        <v>0</v>
      </c>
      <c r="G113" s="47"/>
    </row>
    <row r="114" spans="1:12" x14ac:dyDescent="0.2">
      <c r="A114" s="301">
        <v>84</v>
      </c>
      <c r="B114" s="295" t="s">
        <v>24</v>
      </c>
      <c r="C114" s="45"/>
      <c r="D114" s="422"/>
      <c r="E114" s="422">
        <v>1</v>
      </c>
      <c r="F114" s="422">
        <f t="shared" si="5"/>
        <v>0</v>
      </c>
      <c r="G114" s="47"/>
    </row>
    <row r="115" spans="1:12" x14ac:dyDescent="0.2">
      <c r="A115" s="301">
        <v>85</v>
      </c>
      <c r="B115" s="295" t="s">
        <v>25</v>
      </c>
      <c r="C115" s="45"/>
      <c r="D115" s="422"/>
      <c r="E115" s="422">
        <v>1</v>
      </c>
      <c r="F115" s="422">
        <f t="shared" si="5"/>
        <v>0</v>
      </c>
      <c r="G115" s="47"/>
    </row>
    <row r="116" spans="1:12" x14ac:dyDescent="0.2">
      <c r="A116" s="301">
        <v>86</v>
      </c>
      <c r="B116" s="295" t="s">
        <v>26</v>
      </c>
      <c r="C116" s="45"/>
      <c r="D116" s="422"/>
      <c r="E116" s="422">
        <v>1</v>
      </c>
      <c r="F116" s="422">
        <f t="shared" si="5"/>
        <v>0</v>
      </c>
      <c r="G116" s="47"/>
    </row>
    <row r="117" spans="1:12" x14ac:dyDescent="0.2">
      <c r="A117" s="301">
        <v>87</v>
      </c>
      <c r="B117" s="288" t="s">
        <v>173</v>
      </c>
      <c r="C117" s="45"/>
      <c r="D117" s="422"/>
      <c r="E117" s="422">
        <v>1</v>
      </c>
      <c r="F117" s="422">
        <f t="shared" si="5"/>
        <v>0</v>
      </c>
      <c r="G117" s="47"/>
    </row>
    <row r="118" spans="1:12" x14ac:dyDescent="0.2">
      <c r="A118" s="301"/>
      <c r="B118" s="288"/>
      <c r="C118" s="282"/>
      <c r="D118" s="422"/>
      <c r="E118" s="422"/>
      <c r="F118" s="422"/>
      <c r="G118" s="47"/>
    </row>
    <row r="119" spans="1:12" x14ac:dyDescent="0.2">
      <c r="A119" s="302" t="s">
        <v>116</v>
      </c>
      <c r="B119" s="295"/>
      <c r="C119" s="282"/>
      <c r="D119" s="422"/>
      <c r="E119" s="422"/>
      <c r="F119" s="422"/>
      <c r="G119" s="47"/>
    </row>
    <row r="120" spans="1:12" x14ac:dyDescent="0.2">
      <c r="A120" s="480">
        <v>88</v>
      </c>
      <c r="B120" s="288" t="s">
        <v>474</v>
      </c>
      <c r="C120" s="45"/>
      <c r="D120" s="422"/>
      <c r="E120" s="422">
        <v>1</v>
      </c>
      <c r="F120" s="422">
        <f t="shared" si="5"/>
        <v>0</v>
      </c>
      <c r="G120" s="47" t="s">
        <v>322</v>
      </c>
      <c r="I120" s="249"/>
      <c r="J120" s="450"/>
      <c r="K120" s="449"/>
      <c r="L120" s="449"/>
    </row>
    <row r="121" spans="1:12" x14ac:dyDescent="0.2">
      <c r="A121" s="480">
        <v>89</v>
      </c>
      <c r="B121" s="288" t="s">
        <v>475</v>
      </c>
      <c r="C121" s="45"/>
      <c r="D121" s="422"/>
      <c r="E121" s="422">
        <v>1</v>
      </c>
      <c r="F121" s="422">
        <f t="shared" si="5"/>
        <v>0</v>
      </c>
      <c r="G121" s="47" t="s">
        <v>322</v>
      </c>
      <c r="I121" s="21"/>
      <c r="J121" s="451"/>
      <c r="K121" s="259"/>
      <c r="L121" s="313"/>
    </row>
    <row r="122" spans="1:12" x14ac:dyDescent="0.2">
      <c r="A122" s="480">
        <v>90</v>
      </c>
      <c r="B122" s="288" t="s">
        <v>476</v>
      </c>
      <c r="C122" s="45"/>
      <c r="D122" s="422"/>
      <c r="E122" s="422">
        <v>1</v>
      </c>
      <c r="F122" s="422">
        <f t="shared" si="5"/>
        <v>0</v>
      </c>
      <c r="G122" s="47" t="s">
        <v>322</v>
      </c>
      <c r="I122" s="21"/>
      <c r="J122" s="312"/>
      <c r="K122" s="259"/>
      <c r="L122" s="313"/>
    </row>
    <row r="123" spans="1:12" x14ac:dyDescent="0.2">
      <c r="A123" s="480">
        <v>91</v>
      </c>
      <c r="B123" s="288" t="s">
        <v>477</v>
      </c>
      <c r="C123" s="45"/>
      <c r="D123" s="422"/>
      <c r="E123" s="422">
        <v>1</v>
      </c>
      <c r="F123" s="422">
        <f t="shared" si="5"/>
        <v>0</v>
      </c>
      <c r="G123" s="47" t="s">
        <v>322</v>
      </c>
      <c r="I123" s="21"/>
      <c r="J123" s="312"/>
      <c r="K123" s="259"/>
      <c r="L123" s="313"/>
    </row>
    <row r="124" spans="1:12" x14ac:dyDescent="0.2">
      <c r="A124" s="480">
        <v>92</v>
      </c>
      <c r="B124" s="288" t="s">
        <v>478</v>
      </c>
      <c r="C124" s="45"/>
      <c r="D124" s="422"/>
      <c r="E124" s="422">
        <v>1</v>
      </c>
      <c r="F124" s="422">
        <f t="shared" si="5"/>
        <v>0</v>
      </c>
      <c r="G124" s="47" t="s">
        <v>322</v>
      </c>
      <c r="I124" s="21"/>
      <c r="J124" s="312"/>
      <c r="K124" s="259"/>
      <c r="L124" s="313"/>
    </row>
    <row r="125" spans="1:12" x14ac:dyDescent="0.2">
      <c r="A125" s="480">
        <v>93</v>
      </c>
      <c r="B125" s="288" t="s">
        <v>479</v>
      </c>
      <c r="C125" s="45"/>
      <c r="D125" s="422"/>
      <c r="E125" s="422">
        <v>1</v>
      </c>
      <c r="F125" s="422">
        <f t="shared" si="5"/>
        <v>0</v>
      </c>
      <c r="G125" s="47" t="s">
        <v>322</v>
      </c>
      <c r="I125" s="21"/>
      <c r="J125" s="312"/>
      <c r="K125" s="259"/>
      <c r="L125" s="313"/>
    </row>
    <row r="126" spans="1:12" x14ac:dyDescent="0.2">
      <c r="A126" s="480">
        <v>94</v>
      </c>
      <c r="B126" s="288" t="s">
        <v>480</v>
      </c>
      <c r="C126" s="45"/>
      <c r="D126" s="422"/>
      <c r="E126" s="422">
        <v>1</v>
      </c>
      <c r="F126" s="422">
        <f t="shared" si="5"/>
        <v>0</v>
      </c>
      <c r="G126" s="47" t="s">
        <v>435</v>
      </c>
      <c r="I126" s="21"/>
      <c r="J126" s="312"/>
      <c r="K126" s="259"/>
      <c r="L126" s="313"/>
    </row>
    <row r="127" spans="1:12" x14ac:dyDescent="0.2">
      <c r="A127" s="480">
        <v>95</v>
      </c>
      <c r="B127" s="288" t="s">
        <v>598</v>
      </c>
      <c r="C127" s="45"/>
      <c r="D127" s="422"/>
      <c r="E127" s="422">
        <v>1</v>
      </c>
      <c r="F127" s="422">
        <f t="shared" si="5"/>
        <v>0</v>
      </c>
      <c r="G127" s="47" t="s">
        <v>435</v>
      </c>
      <c r="I127" s="313"/>
    </row>
    <row r="128" spans="1:12" x14ac:dyDescent="0.2">
      <c r="A128" s="480">
        <v>96</v>
      </c>
      <c r="B128" s="288" t="s">
        <v>481</v>
      </c>
      <c r="C128" s="45"/>
      <c r="D128" s="422"/>
      <c r="E128" s="422">
        <v>1</v>
      </c>
      <c r="F128" s="422">
        <f t="shared" si="5"/>
        <v>0</v>
      </c>
      <c r="G128" s="47" t="s">
        <v>435</v>
      </c>
      <c r="I128" s="313"/>
    </row>
    <row r="129" spans="1:9" x14ac:dyDescent="0.2">
      <c r="A129" s="480">
        <v>97</v>
      </c>
      <c r="B129" s="288" t="s">
        <v>482</v>
      </c>
      <c r="C129" s="45"/>
      <c r="D129" s="422"/>
      <c r="E129" s="422">
        <v>1</v>
      </c>
      <c r="F129" s="422">
        <f t="shared" si="5"/>
        <v>0</v>
      </c>
      <c r="G129" s="47" t="s">
        <v>435</v>
      </c>
      <c r="I129" s="313"/>
    </row>
    <row r="130" spans="1:9" x14ac:dyDescent="0.2">
      <c r="A130" s="480">
        <v>98</v>
      </c>
      <c r="B130" s="288" t="s">
        <v>483</v>
      </c>
      <c r="C130" s="45"/>
      <c r="D130" s="422"/>
      <c r="E130" s="422">
        <v>1</v>
      </c>
      <c r="F130" s="422">
        <f t="shared" si="5"/>
        <v>0</v>
      </c>
      <c r="G130" s="47" t="s">
        <v>576</v>
      </c>
      <c r="I130" s="313"/>
    </row>
    <row r="131" spans="1:9" x14ac:dyDescent="0.2">
      <c r="A131" s="481"/>
      <c r="B131" s="325"/>
      <c r="C131" s="282"/>
      <c r="D131" s="422"/>
      <c r="E131" s="422"/>
      <c r="F131" s="422"/>
      <c r="G131" s="47"/>
    </row>
    <row r="132" spans="1:9" x14ac:dyDescent="0.2">
      <c r="A132" s="301" t="s">
        <v>128</v>
      </c>
      <c r="B132" s="288"/>
      <c r="C132" s="282"/>
      <c r="D132" s="422"/>
      <c r="E132" s="422"/>
      <c r="F132" s="422"/>
      <c r="G132" s="47"/>
    </row>
    <row r="133" spans="1:9" x14ac:dyDescent="0.2">
      <c r="A133" s="301">
        <v>99</v>
      </c>
      <c r="B133" s="291" t="s">
        <v>484</v>
      </c>
      <c r="C133" s="45"/>
      <c r="D133" s="422"/>
      <c r="E133" s="422">
        <v>1</v>
      </c>
      <c r="F133" s="422">
        <f t="shared" si="5"/>
        <v>0</v>
      </c>
      <c r="G133" s="47"/>
    </row>
    <row r="134" spans="1:9" x14ac:dyDescent="0.2">
      <c r="A134" s="301">
        <v>100</v>
      </c>
      <c r="B134" s="291" t="s">
        <v>485</v>
      </c>
      <c r="C134" s="45"/>
      <c r="D134" s="422"/>
      <c r="E134" s="422">
        <v>1</v>
      </c>
      <c r="F134" s="422">
        <f t="shared" si="5"/>
        <v>0</v>
      </c>
      <c r="G134" s="47"/>
    </row>
    <row r="135" spans="1:9" x14ac:dyDescent="0.2">
      <c r="A135" s="301">
        <v>101</v>
      </c>
      <c r="B135" s="291" t="s">
        <v>486</v>
      </c>
      <c r="C135" s="45"/>
      <c r="D135" s="422"/>
      <c r="E135" s="422">
        <v>1</v>
      </c>
      <c r="F135" s="422">
        <f t="shared" si="5"/>
        <v>0</v>
      </c>
      <c r="G135" s="47"/>
    </row>
    <row r="136" spans="1:9" x14ac:dyDescent="0.2">
      <c r="A136" s="301">
        <v>102</v>
      </c>
      <c r="B136" s="291" t="s">
        <v>487</v>
      </c>
      <c r="C136" s="45"/>
      <c r="D136" s="422"/>
      <c r="E136" s="422">
        <v>1</v>
      </c>
      <c r="F136" s="422">
        <f t="shared" si="5"/>
        <v>0</v>
      </c>
      <c r="G136" s="47"/>
    </row>
    <row r="137" spans="1:9" x14ac:dyDescent="0.2">
      <c r="A137" s="301"/>
      <c r="B137" s="288"/>
      <c r="C137" s="282"/>
      <c r="D137" s="422"/>
      <c r="E137" s="422"/>
      <c r="F137" s="422"/>
      <c r="G137" s="47"/>
    </row>
    <row r="138" spans="1:9" x14ac:dyDescent="0.2">
      <c r="A138" s="301" t="s">
        <v>132</v>
      </c>
      <c r="B138" s="288"/>
      <c r="C138" s="282"/>
      <c r="D138" s="422"/>
      <c r="E138" s="422"/>
      <c r="F138" s="422"/>
      <c r="G138" s="47"/>
    </row>
    <row r="139" spans="1:9" x14ac:dyDescent="0.2">
      <c r="A139" s="301">
        <v>103</v>
      </c>
      <c r="B139" s="288" t="s">
        <v>488</v>
      </c>
      <c r="C139" s="45"/>
      <c r="D139" s="422"/>
      <c r="E139" s="422">
        <v>1</v>
      </c>
      <c r="F139" s="422">
        <f>D139*E139</f>
        <v>0</v>
      </c>
      <c r="G139" s="47"/>
    </row>
    <row r="140" spans="1:9" x14ac:dyDescent="0.2">
      <c r="A140" s="301">
        <v>104</v>
      </c>
      <c r="B140" s="288" t="s">
        <v>489</v>
      </c>
      <c r="C140" s="45"/>
      <c r="D140" s="422"/>
      <c r="E140" s="422">
        <v>1</v>
      </c>
      <c r="F140" s="422">
        <f>D140*E140</f>
        <v>0</v>
      </c>
      <c r="G140" s="47"/>
    </row>
    <row r="141" spans="1:9" x14ac:dyDescent="0.2">
      <c r="A141" s="301"/>
      <c r="B141" s="288"/>
      <c r="C141" s="282"/>
      <c r="D141" s="422"/>
      <c r="E141" s="422"/>
      <c r="F141" s="422"/>
      <c r="G141" s="47"/>
    </row>
    <row r="142" spans="1:9" x14ac:dyDescent="0.2">
      <c r="A142" s="301" t="s">
        <v>135</v>
      </c>
      <c r="B142" s="288"/>
      <c r="C142" s="282"/>
      <c r="D142" s="422"/>
      <c r="E142" s="422"/>
      <c r="F142" s="422"/>
      <c r="G142" s="47"/>
    </row>
    <row r="143" spans="1:9" x14ac:dyDescent="0.2">
      <c r="A143" s="301">
        <v>105</v>
      </c>
      <c r="B143" s="288" t="s">
        <v>490</v>
      </c>
      <c r="C143" s="45"/>
      <c r="D143" s="422"/>
      <c r="E143" s="422">
        <v>1</v>
      </c>
      <c r="F143" s="422">
        <f>D143*E143</f>
        <v>0</v>
      </c>
      <c r="G143" s="47"/>
    </row>
    <row r="144" spans="1:9" x14ac:dyDescent="0.2">
      <c r="A144" s="301">
        <v>106</v>
      </c>
      <c r="B144" s="288" t="s">
        <v>491</v>
      </c>
      <c r="C144" s="45"/>
      <c r="D144" s="422"/>
      <c r="E144" s="422">
        <v>1</v>
      </c>
      <c r="F144" s="422">
        <f t="shared" si="5"/>
        <v>0</v>
      </c>
      <c r="G144" s="47"/>
    </row>
    <row r="145" spans="1:7" x14ac:dyDescent="0.2">
      <c r="A145" s="301">
        <v>107</v>
      </c>
      <c r="B145" s="288" t="s">
        <v>492</v>
      </c>
      <c r="C145" s="45"/>
      <c r="D145" s="422"/>
      <c r="E145" s="422">
        <v>1</v>
      </c>
      <c r="F145" s="422">
        <f t="shared" si="5"/>
        <v>0</v>
      </c>
      <c r="G145" s="47"/>
    </row>
    <row r="146" spans="1:7" x14ac:dyDescent="0.2">
      <c r="A146" s="301">
        <v>108</v>
      </c>
      <c r="B146" s="288" t="s">
        <v>493</v>
      </c>
      <c r="C146" s="45"/>
      <c r="D146" s="422"/>
      <c r="E146" s="422">
        <v>1</v>
      </c>
      <c r="F146" s="422">
        <f t="shared" si="5"/>
        <v>0</v>
      </c>
      <c r="G146" s="47"/>
    </row>
    <row r="147" spans="1:7" x14ac:dyDescent="0.2">
      <c r="A147" s="301">
        <v>109</v>
      </c>
      <c r="B147" s="288" t="s">
        <v>494</v>
      </c>
      <c r="C147" s="45"/>
      <c r="D147" s="422"/>
      <c r="E147" s="422">
        <v>1</v>
      </c>
      <c r="F147" s="422">
        <f t="shared" si="5"/>
        <v>0</v>
      </c>
      <c r="G147" s="47"/>
    </row>
    <row r="148" spans="1:7" x14ac:dyDescent="0.2">
      <c r="A148" s="301">
        <v>110</v>
      </c>
      <c r="B148" s="288" t="s">
        <v>495</v>
      </c>
      <c r="C148" s="45"/>
      <c r="D148" s="422"/>
      <c r="E148" s="422">
        <v>1</v>
      </c>
      <c r="F148" s="422">
        <f t="shared" si="5"/>
        <v>0</v>
      </c>
      <c r="G148" s="47"/>
    </row>
    <row r="149" spans="1:7" x14ac:dyDescent="0.2">
      <c r="A149" s="301">
        <v>111</v>
      </c>
      <c r="B149" s="288" t="s">
        <v>496</v>
      </c>
      <c r="C149" s="45"/>
      <c r="D149" s="422"/>
      <c r="E149" s="422">
        <v>1</v>
      </c>
      <c r="F149" s="422">
        <f t="shared" si="5"/>
        <v>0</v>
      </c>
      <c r="G149" s="47"/>
    </row>
    <row r="150" spans="1:7" x14ac:dyDescent="0.2">
      <c r="A150" s="301">
        <v>112</v>
      </c>
      <c r="B150" s="288" t="s">
        <v>497</v>
      </c>
      <c r="C150" s="45"/>
      <c r="D150" s="422"/>
      <c r="E150" s="422">
        <v>1</v>
      </c>
      <c r="F150" s="422">
        <f t="shared" si="5"/>
        <v>0</v>
      </c>
      <c r="G150" s="47"/>
    </row>
    <row r="151" spans="1:7" x14ac:dyDescent="0.2">
      <c r="A151" s="301">
        <v>113</v>
      </c>
      <c r="B151" s="288" t="s">
        <v>498</v>
      </c>
      <c r="C151" s="45"/>
      <c r="D151" s="422"/>
      <c r="E151" s="422">
        <v>1</v>
      </c>
      <c r="F151" s="422">
        <f t="shared" si="5"/>
        <v>0</v>
      </c>
      <c r="G151" s="47"/>
    </row>
    <row r="152" spans="1:7" x14ac:dyDescent="0.2">
      <c r="A152" s="301">
        <v>114</v>
      </c>
      <c r="B152" s="288" t="s">
        <v>499</v>
      </c>
      <c r="C152" s="45"/>
      <c r="D152" s="422"/>
      <c r="E152" s="422">
        <v>1</v>
      </c>
      <c r="F152" s="422">
        <f t="shared" si="5"/>
        <v>0</v>
      </c>
      <c r="G152" s="47"/>
    </row>
    <row r="153" spans="1:7" x14ac:dyDescent="0.2">
      <c r="A153" s="301">
        <v>115</v>
      </c>
      <c r="B153" s="288" t="s">
        <v>500</v>
      </c>
      <c r="C153" s="45"/>
      <c r="D153" s="422"/>
      <c r="E153" s="422">
        <v>1</v>
      </c>
      <c r="F153" s="422">
        <f t="shared" si="5"/>
        <v>0</v>
      </c>
      <c r="G153" s="47"/>
    </row>
    <row r="154" spans="1:7" x14ac:dyDescent="0.2">
      <c r="A154" s="301">
        <v>116</v>
      </c>
      <c r="B154" s="288" t="s">
        <v>501</v>
      </c>
      <c r="C154" s="45"/>
      <c r="D154" s="422"/>
      <c r="E154" s="422">
        <v>1</v>
      </c>
      <c r="F154" s="422">
        <f t="shared" si="5"/>
        <v>0</v>
      </c>
      <c r="G154" s="47"/>
    </row>
    <row r="155" spans="1:7" x14ac:dyDescent="0.2">
      <c r="A155" s="301">
        <v>117</v>
      </c>
      <c r="B155" s="288" t="s">
        <v>502</v>
      </c>
      <c r="C155" s="45"/>
      <c r="D155" s="422"/>
      <c r="E155" s="422">
        <v>1</v>
      </c>
      <c r="F155" s="422">
        <f t="shared" si="5"/>
        <v>0</v>
      </c>
      <c r="G155" s="47"/>
    </row>
    <row r="156" spans="1:7" x14ac:dyDescent="0.2">
      <c r="A156" s="301">
        <v>118</v>
      </c>
      <c r="B156" s="288" t="s">
        <v>503</v>
      </c>
      <c r="C156" s="45"/>
      <c r="D156" s="422"/>
      <c r="E156" s="422">
        <v>1</v>
      </c>
      <c r="F156" s="422">
        <f t="shared" si="5"/>
        <v>0</v>
      </c>
      <c r="G156" s="47"/>
    </row>
    <row r="157" spans="1:7" x14ac:dyDescent="0.2">
      <c r="A157" s="301">
        <v>119</v>
      </c>
      <c r="B157" s="288" t="s">
        <v>504</v>
      </c>
      <c r="C157" s="45"/>
      <c r="D157" s="422"/>
      <c r="E157" s="422">
        <v>1</v>
      </c>
      <c r="F157" s="422">
        <f t="shared" ref="F157:F192" si="6">D157*E157</f>
        <v>0</v>
      </c>
      <c r="G157" s="47"/>
    </row>
    <row r="158" spans="1:7" x14ac:dyDescent="0.2">
      <c r="A158" s="301">
        <v>120</v>
      </c>
      <c r="B158" s="288" t="s">
        <v>505</v>
      </c>
      <c r="C158" s="45"/>
      <c r="D158" s="422"/>
      <c r="E158" s="422">
        <v>1</v>
      </c>
      <c r="F158" s="422">
        <f t="shared" si="6"/>
        <v>0</v>
      </c>
      <c r="G158" s="47"/>
    </row>
    <row r="159" spans="1:7" x14ac:dyDescent="0.2">
      <c r="A159" s="301">
        <v>121</v>
      </c>
      <c r="B159" s="288" t="s">
        <v>506</v>
      </c>
      <c r="C159" s="45"/>
      <c r="D159" s="422"/>
      <c r="E159" s="422">
        <v>1</v>
      </c>
      <c r="F159" s="422">
        <f t="shared" si="6"/>
        <v>0</v>
      </c>
      <c r="G159" s="47"/>
    </row>
    <row r="160" spans="1:7" x14ac:dyDescent="0.2">
      <c r="A160" s="301">
        <v>122</v>
      </c>
      <c r="B160" s="288" t="s">
        <v>507</v>
      </c>
      <c r="C160" s="45"/>
      <c r="D160" s="422"/>
      <c r="E160" s="422">
        <v>1</v>
      </c>
      <c r="F160" s="422">
        <f t="shared" si="6"/>
        <v>0</v>
      </c>
      <c r="G160" s="47"/>
    </row>
    <row r="161" spans="1:7" x14ac:dyDescent="0.2">
      <c r="A161" s="301">
        <v>123</v>
      </c>
      <c r="B161" s="288" t="s">
        <v>508</v>
      </c>
      <c r="C161" s="45"/>
      <c r="D161" s="422"/>
      <c r="E161" s="422">
        <v>1</v>
      </c>
      <c r="F161" s="422">
        <f t="shared" si="6"/>
        <v>0</v>
      </c>
      <c r="G161" s="47"/>
    </row>
    <row r="162" spans="1:7" x14ac:dyDescent="0.2">
      <c r="A162" s="301">
        <v>124</v>
      </c>
      <c r="B162" s="288" t="s">
        <v>509</v>
      </c>
      <c r="C162" s="45"/>
      <c r="D162" s="422"/>
      <c r="E162" s="422">
        <v>1</v>
      </c>
      <c r="F162" s="422">
        <f t="shared" si="6"/>
        <v>0</v>
      </c>
      <c r="G162" s="47"/>
    </row>
    <row r="163" spans="1:7" x14ac:dyDescent="0.2">
      <c r="A163" s="301">
        <v>125</v>
      </c>
      <c r="B163" s="288" t="s">
        <v>510</v>
      </c>
      <c r="C163" s="45"/>
      <c r="D163" s="422"/>
      <c r="E163" s="422">
        <v>1</v>
      </c>
      <c r="F163" s="422">
        <f t="shared" si="6"/>
        <v>0</v>
      </c>
      <c r="G163" s="47"/>
    </row>
    <row r="164" spans="1:7" x14ac:dyDescent="0.2">
      <c r="A164" s="301">
        <v>126</v>
      </c>
      <c r="B164" s="288" t="s">
        <v>511</v>
      </c>
      <c r="C164" s="45"/>
      <c r="D164" s="422"/>
      <c r="E164" s="422">
        <v>1</v>
      </c>
      <c r="F164" s="422">
        <f t="shared" si="6"/>
        <v>0</v>
      </c>
      <c r="G164" s="47"/>
    </row>
    <row r="165" spans="1:7" x14ac:dyDescent="0.2">
      <c r="A165" s="301">
        <v>127</v>
      </c>
      <c r="B165" s="288" t="s">
        <v>28</v>
      </c>
      <c r="C165" s="45"/>
      <c r="D165" s="422"/>
      <c r="E165" s="422">
        <v>1</v>
      </c>
      <c r="F165" s="422">
        <f t="shared" si="6"/>
        <v>0</v>
      </c>
      <c r="G165" s="47"/>
    </row>
    <row r="166" spans="1:7" x14ac:dyDescent="0.2">
      <c r="A166" s="301">
        <v>128</v>
      </c>
      <c r="B166" s="288" t="s">
        <v>29</v>
      </c>
      <c r="C166" s="45"/>
      <c r="D166" s="422"/>
      <c r="E166" s="422">
        <v>1</v>
      </c>
      <c r="F166" s="422">
        <f t="shared" si="6"/>
        <v>0</v>
      </c>
      <c r="G166" s="47"/>
    </row>
    <row r="167" spans="1:7" x14ac:dyDescent="0.2">
      <c r="A167" s="301">
        <v>129</v>
      </c>
      <c r="B167" s="288" t="s">
        <v>30</v>
      </c>
      <c r="C167" s="45"/>
      <c r="D167" s="422"/>
      <c r="E167" s="422">
        <v>1</v>
      </c>
      <c r="F167" s="422">
        <f t="shared" si="6"/>
        <v>0</v>
      </c>
      <c r="G167" s="47"/>
    </row>
    <row r="168" spans="1:7" x14ac:dyDescent="0.2">
      <c r="A168" s="301">
        <v>130</v>
      </c>
      <c r="B168" s="288" t="s">
        <v>31</v>
      </c>
      <c r="C168" s="45"/>
      <c r="D168" s="422"/>
      <c r="E168" s="422">
        <v>1</v>
      </c>
      <c r="F168" s="422">
        <f t="shared" si="6"/>
        <v>0</v>
      </c>
      <c r="G168" s="47"/>
    </row>
    <row r="169" spans="1:7" x14ac:dyDescent="0.2">
      <c r="A169" s="301">
        <v>131</v>
      </c>
      <c r="B169" s="288" t="s">
        <v>32</v>
      </c>
      <c r="C169" s="45"/>
      <c r="D169" s="422"/>
      <c r="E169" s="422">
        <v>1</v>
      </c>
      <c r="F169" s="422">
        <f t="shared" si="6"/>
        <v>0</v>
      </c>
      <c r="G169" s="47"/>
    </row>
    <row r="170" spans="1:7" x14ac:dyDescent="0.2">
      <c r="A170" s="301">
        <v>132</v>
      </c>
      <c r="B170" s="288" t="s">
        <v>33</v>
      </c>
      <c r="C170" s="45"/>
      <c r="D170" s="422"/>
      <c r="E170" s="422">
        <v>1</v>
      </c>
      <c r="F170" s="422">
        <f t="shared" si="6"/>
        <v>0</v>
      </c>
      <c r="G170" s="47"/>
    </row>
    <row r="171" spans="1:7" x14ac:dyDescent="0.2">
      <c r="A171" s="301">
        <v>133</v>
      </c>
      <c r="B171" s="288" t="s">
        <v>34</v>
      </c>
      <c r="C171" s="45"/>
      <c r="D171" s="422"/>
      <c r="E171" s="422">
        <v>1</v>
      </c>
      <c r="F171" s="422">
        <f t="shared" si="6"/>
        <v>0</v>
      </c>
      <c r="G171" s="47"/>
    </row>
    <row r="172" spans="1:7" x14ac:dyDescent="0.2">
      <c r="A172" s="301">
        <v>134</v>
      </c>
      <c r="B172" s="288" t="s">
        <v>35</v>
      </c>
      <c r="C172" s="45"/>
      <c r="D172" s="422"/>
      <c r="E172" s="422">
        <v>1</v>
      </c>
      <c r="F172" s="422">
        <f t="shared" si="6"/>
        <v>0</v>
      </c>
      <c r="G172" s="47"/>
    </row>
    <row r="173" spans="1:7" x14ac:dyDescent="0.2">
      <c r="A173" s="301">
        <v>135</v>
      </c>
      <c r="B173" s="288" t="s">
        <v>36</v>
      </c>
      <c r="C173" s="45"/>
      <c r="D173" s="422"/>
      <c r="E173" s="422">
        <v>1</v>
      </c>
      <c r="F173" s="422">
        <f t="shared" si="6"/>
        <v>0</v>
      </c>
      <c r="G173" s="47"/>
    </row>
    <row r="174" spans="1:7" x14ac:dyDescent="0.2">
      <c r="A174" s="301">
        <v>136</v>
      </c>
      <c r="B174" s="288" t="s">
        <v>37</v>
      </c>
      <c r="C174" s="45"/>
      <c r="D174" s="422"/>
      <c r="E174" s="422">
        <v>1</v>
      </c>
      <c r="F174" s="422">
        <f t="shared" si="6"/>
        <v>0</v>
      </c>
      <c r="G174" s="47"/>
    </row>
    <row r="175" spans="1:7" x14ac:dyDescent="0.2">
      <c r="A175" s="301">
        <v>137</v>
      </c>
      <c r="B175" s="288" t="s">
        <v>38</v>
      </c>
      <c r="C175" s="45"/>
      <c r="D175" s="422"/>
      <c r="E175" s="422">
        <v>1</v>
      </c>
      <c r="F175" s="422">
        <f t="shared" si="6"/>
        <v>0</v>
      </c>
      <c r="G175" s="47"/>
    </row>
    <row r="176" spans="1:7" x14ac:dyDescent="0.2">
      <c r="A176" s="301">
        <v>138</v>
      </c>
      <c r="B176" s="288" t="s">
        <v>512</v>
      </c>
      <c r="C176" s="45"/>
      <c r="D176" s="422"/>
      <c r="E176" s="422">
        <v>1</v>
      </c>
      <c r="F176" s="422">
        <f t="shared" si="6"/>
        <v>0</v>
      </c>
      <c r="G176" s="47"/>
    </row>
    <row r="177" spans="1:7" x14ac:dyDescent="0.2">
      <c r="A177" s="481"/>
      <c r="B177" s="325"/>
      <c r="C177" s="282"/>
      <c r="D177" s="422"/>
      <c r="E177" s="422"/>
      <c r="F177" s="422"/>
      <c r="G177" s="47"/>
    </row>
    <row r="178" spans="1:7" x14ac:dyDescent="0.2">
      <c r="A178" s="301" t="s">
        <v>39</v>
      </c>
      <c r="B178" s="288"/>
      <c r="C178" s="282"/>
      <c r="D178" s="422"/>
      <c r="E178" s="422"/>
      <c r="F178" s="422"/>
      <c r="G178" s="47"/>
    </row>
    <row r="179" spans="1:7" x14ac:dyDescent="0.2">
      <c r="A179" s="301"/>
      <c r="B179" s="288"/>
      <c r="C179" s="299" t="s">
        <v>40</v>
      </c>
      <c r="D179" s="422"/>
      <c r="E179" s="422"/>
      <c r="F179" s="422"/>
      <c r="G179" s="47"/>
    </row>
    <row r="180" spans="1:7" x14ac:dyDescent="0.2">
      <c r="A180" s="301">
        <v>139</v>
      </c>
      <c r="B180" s="288" t="s">
        <v>513</v>
      </c>
      <c r="C180" s="45"/>
      <c r="D180" s="422"/>
      <c r="E180" s="422">
        <v>0.52</v>
      </c>
      <c r="F180" s="422">
        <f t="shared" si="6"/>
        <v>0</v>
      </c>
      <c r="G180" s="47" t="s">
        <v>444</v>
      </c>
    </row>
    <row r="181" spans="1:7" x14ac:dyDescent="0.2">
      <c r="A181" s="301">
        <v>140</v>
      </c>
      <c r="B181" s="288" t="s">
        <v>514</v>
      </c>
      <c r="C181" s="45"/>
      <c r="D181" s="422"/>
      <c r="E181" s="422">
        <v>1</v>
      </c>
      <c r="F181" s="422">
        <f t="shared" si="6"/>
        <v>0</v>
      </c>
      <c r="G181" s="47"/>
    </row>
    <row r="182" spans="1:7" x14ac:dyDescent="0.2">
      <c r="A182" s="301">
        <v>141</v>
      </c>
      <c r="B182" s="288" t="s">
        <v>515</v>
      </c>
      <c r="C182" s="45"/>
      <c r="D182" s="422"/>
      <c r="E182" s="422">
        <v>1</v>
      </c>
      <c r="F182" s="422">
        <f t="shared" si="6"/>
        <v>0</v>
      </c>
      <c r="G182" s="47"/>
    </row>
    <row r="183" spans="1:7" x14ac:dyDescent="0.2">
      <c r="A183" s="301">
        <v>142</v>
      </c>
      <c r="B183" s="288" t="s">
        <v>41</v>
      </c>
      <c r="C183" s="45"/>
      <c r="D183" s="422"/>
      <c r="E183" s="422">
        <v>0.68279999999999996</v>
      </c>
      <c r="F183" s="422">
        <f t="shared" si="6"/>
        <v>0</v>
      </c>
      <c r="G183" s="47" t="s">
        <v>434</v>
      </c>
    </row>
    <row r="184" spans="1:7" x14ac:dyDescent="0.2">
      <c r="A184" s="301">
        <v>143</v>
      </c>
      <c r="B184" s="288" t="s">
        <v>42</v>
      </c>
      <c r="C184" s="45"/>
      <c r="D184" s="422"/>
      <c r="E184" s="422">
        <v>1</v>
      </c>
      <c r="F184" s="422">
        <f t="shared" si="6"/>
        <v>0</v>
      </c>
      <c r="G184" s="47"/>
    </row>
    <row r="185" spans="1:7" x14ac:dyDescent="0.2">
      <c r="A185" s="301">
        <v>144</v>
      </c>
      <c r="B185" s="288" t="s">
        <v>43</v>
      </c>
      <c r="C185" s="45"/>
      <c r="D185" s="422"/>
      <c r="E185" s="422">
        <v>1</v>
      </c>
      <c r="F185" s="422">
        <f t="shared" si="6"/>
        <v>0</v>
      </c>
      <c r="G185" s="47"/>
    </row>
    <row r="186" spans="1:7" x14ac:dyDescent="0.2">
      <c r="A186" s="301">
        <v>145</v>
      </c>
      <c r="B186" s="288" t="s">
        <v>44</v>
      </c>
      <c r="C186" s="45"/>
      <c r="D186" s="422"/>
      <c r="E186" s="422">
        <v>1</v>
      </c>
      <c r="F186" s="422">
        <f t="shared" si="6"/>
        <v>0</v>
      </c>
      <c r="G186" s="47"/>
    </row>
    <row r="187" spans="1:7" x14ac:dyDescent="0.2">
      <c r="A187" s="301"/>
      <c r="B187" s="288"/>
      <c r="C187" s="45"/>
      <c r="D187" s="422"/>
      <c r="E187" s="422"/>
      <c r="F187" s="422">
        <f t="shared" si="6"/>
        <v>0</v>
      </c>
      <c r="G187" s="47"/>
    </row>
    <row r="188" spans="1:7" x14ac:dyDescent="0.2">
      <c r="A188" s="301">
        <v>146</v>
      </c>
      <c r="B188" s="288" t="s">
        <v>516</v>
      </c>
      <c r="C188" s="45"/>
      <c r="D188" s="530">
        <f>F120/0.75</f>
        <v>0</v>
      </c>
      <c r="E188" s="422">
        <v>6.5000000000000002E-2</v>
      </c>
      <c r="F188" s="422">
        <f t="shared" si="6"/>
        <v>0</v>
      </c>
      <c r="G188" s="47" t="s">
        <v>378</v>
      </c>
    </row>
    <row r="189" spans="1:7" x14ac:dyDescent="0.2">
      <c r="A189" s="301">
        <v>147</v>
      </c>
      <c r="B189" s="288" t="s">
        <v>517</v>
      </c>
      <c r="C189" s="45"/>
      <c r="D189" s="530">
        <f>F121/0.7</f>
        <v>0</v>
      </c>
      <c r="E189" s="422">
        <v>4.6899999999999997E-2</v>
      </c>
      <c r="F189" s="422">
        <f t="shared" si="6"/>
        <v>0</v>
      </c>
      <c r="G189" s="47" t="s">
        <v>378</v>
      </c>
    </row>
    <row r="190" spans="1:7" x14ac:dyDescent="0.2">
      <c r="A190" s="301">
        <v>148</v>
      </c>
      <c r="B190" s="288" t="s">
        <v>518</v>
      </c>
      <c r="C190" s="45"/>
      <c r="D190" s="530">
        <f>F122/0.68</f>
        <v>0</v>
      </c>
      <c r="E190" s="422">
        <v>7.8700000000000006E-2</v>
      </c>
      <c r="F190" s="422">
        <f t="shared" si="6"/>
        <v>0</v>
      </c>
      <c r="G190" s="47" t="s">
        <v>378</v>
      </c>
    </row>
    <row r="191" spans="1:7" x14ac:dyDescent="0.2">
      <c r="A191" s="301">
        <v>149</v>
      </c>
      <c r="B191" s="288" t="s">
        <v>519</v>
      </c>
      <c r="C191" s="45"/>
      <c r="D191" s="530">
        <f>F123/0.72</f>
        <v>0</v>
      </c>
      <c r="E191" s="422">
        <v>7.6999999999999999E-2</v>
      </c>
      <c r="F191" s="422">
        <f t="shared" si="6"/>
        <v>0</v>
      </c>
      <c r="G191" s="47" t="s">
        <v>378</v>
      </c>
    </row>
    <row r="192" spans="1:7" x14ac:dyDescent="0.2">
      <c r="A192" s="482">
        <v>150</v>
      </c>
      <c r="B192" s="347" t="s">
        <v>520</v>
      </c>
      <c r="C192" s="48"/>
      <c r="D192" s="531">
        <f>F125/0.67</f>
        <v>0</v>
      </c>
      <c r="E192" s="424">
        <v>0.1192</v>
      </c>
      <c r="F192" s="424">
        <f t="shared" si="6"/>
        <v>0</v>
      </c>
      <c r="G192" s="47" t="s">
        <v>378</v>
      </c>
    </row>
  </sheetData>
  <mergeCells count="8">
    <mergeCell ref="A1:G1"/>
    <mergeCell ref="A2:G2"/>
    <mergeCell ref="A3:G3"/>
    <mergeCell ref="A4:C4"/>
    <mergeCell ref="D4:D5"/>
    <mergeCell ref="E4:E5"/>
    <mergeCell ref="G4:G5"/>
    <mergeCell ref="A5:C5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02"/>
  <sheetViews>
    <sheetView zoomScaleNormal="100" zoomScaleSheetLayoutView="80" workbookViewId="0">
      <pane xSplit="3" ySplit="11" topLeftCell="D78" activePane="bottomRight" state="frozen"/>
      <selection activeCell="M5" sqref="M5:Q5"/>
      <selection pane="topRight" activeCell="M5" sqref="M5:Q5"/>
      <selection pane="bottomLeft" activeCell="M5" sqref="M5:Q5"/>
      <selection pane="bottomRight" activeCell="F85" sqref="F85"/>
    </sheetView>
  </sheetViews>
  <sheetFormatPr defaultColWidth="9" defaultRowHeight="11.25" x14ac:dyDescent="0.2"/>
  <cols>
    <col min="1" max="1" width="3.28515625" style="21" customWidth="1"/>
    <col min="2" max="2" width="1.42578125" style="66" customWidth="1"/>
    <col min="3" max="3" width="31.85546875" style="21" customWidth="1"/>
    <col min="4" max="11" width="10.7109375" style="431" customWidth="1"/>
    <col min="12" max="12" width="2.7109375" style="431" customWidth="1"/>
    <col min="13" max="13" width="8.7109375" style="265" customWidth="1"/>
    <col min="14" max="15" width="8.7109375" style="263" customWidth="1"/>
    <col min="16" max="16" width="9" style="263"/>
    <col min="17" max="17" width="11.5703125" style="264" customWidth="1"/>
    <col min="18" max="18" width="15.85546875" style="21" customWidth="1"/>
    <col min="19" max="19" width="14.140625" style="21" customWidth="1"/>
    <col min="20" max="20" width="9" style="21" hidden="1" customWidth="1"/>
    <col min="21" max="21" width="22.28515625" style="21" hidden="1" customWidth="1"/>
    <col min="22" max="214" width="9" style="21"/>
    <col min="215" max="215" width="1.42578125" style="21" customWidth="1"/>
    <col min="216" max="216" width="31.85546875" style="21" customWidth="1"/>
    <col min="217" max="217" width="8.28515625" style="21" customWidth="1"/>
    <col min="218" max="218" width="9.7109375" style="21" customWidth="1"/>
    <col min="219" max="219" width="8.28515625" style="21" customWidth="1"/>
    <col min="220" max="220" width="6.5703125" style="21" customWidth="1"/>
    <col min="221" max="221" width="14" style="21" customWidth="1"/>
    <col min="222" max="222" width="6.7109375" style="21" customWidth="1"/>
    <col min="223" max="223" width="8.85546875" style="21" customWidth="1"/>
    <col min="224" max="224" width="7.7109375" style="21" customWidth="1"/>
    <col min="225" max="225" width="7.28515625" style="21" customWidth="1"/>
    <col min="226" max="226" width="7.7109375" style="21" customWidth="1"/>
    <col min="227" max="227" width="8.28515625" style="21" customWidth="1"/>
    <col min="228" max="229" width="6.7109375" style="21" customWidth="1"/>
    <col min="230" max="230" width="8.85546875" style="21" customWidth="1"/>
    <col min="231" max="232" width="7.5703125" style="21" customWidth="1"/>
    <col min="233" max="233" width="7.7109375" style="21" customWidth="1"/>
    <col min="234" max="235" width="8.28515625" style="21" customWidth="1"/>
    <col min="236" max="236" width="6.28515625" style="21" customWidth="1"/>
    <col min="237" max="238" width="8.7109375" style="21" customWidth="1"/>
    <col min="239" max="239" width="9.5703125" style="21" customWidth="1"/>
    <col min="240" max="240" width="8.7109375" style="21" customWidth="1"/>
    <col min="241" max="241" width="14.5703125" style="21" customWidth="1"/>
    <col min="242" max="242" width="8.7109375" style="21" customWidth="1"/>
    <col min="243" max="243" width="10.42578125" style="21" customWidth="1"/>
    <col min="244" max="246" width="8.7109375" style="21" customWidth="1"/>
    <col min="247" max="247" width="9" style="21"/>
    <col min="248" max="249" width="8.7109375" style="21" customWidth="1"/>
    <col min="250" max="250" width="4.28515625" style="21" customWidth="1"/>
    <col min="251" max="251" width="7" style="21" customWidth="1"/>
    <col min="252" max="252" width="4.28515625" style="21" customWidth="1"/>
    <col min="253" max="253" width="7.7109375" style="21" customWidth="1"/>
    <col min="254" max="470" width="9" style="21"/>
    <col min="471" max="471" width="1.42578125" style="21" customWidth="1"/>
    <col min="472" max="472" width="31.85546875" style="21" customWidth="1"/>
    <col min="473" max="473" width="8.28515625" style="21" customWidth="1"/>
    <col min="474" max="474" width="9.7109375" style="21" customWidth="1"/>
    <col min="475" max="475" width="8.28515625" style="21" customWidth="1"/>
    <col min="476" max="476" width="6.5703125" style="21" customWidth="1"/>
    <col min="477" max="477" width="14" style="21" customWidth="1"/>
    <col min="478" max="478" width="6.7109375" style="21" customWidth="1"/>
    <col min="479" max="479" width="8.85546875" style="21" customWidth="1"/>
    <col min="480" max="480" width="7.7109375" style="21" customWidth="1"/>
    <col min="481" max="481" width="7.28515625" style="21" customWidth="1"/>
    <col min="482" max="482" width="7.7109375" style="21" customWidth="1"/>
    <col min="483" max="483" width="8.28515625" style="21" customWidth="1"/>
    <col min="484" max="485" width="6.7109375" style="21" customWidth="1"/>
    <col min="486" max="486" width="8.85546875" style="21" customWidth="1"/>
    <col min="487" max="488" width="7.5703125" style="21" customWidth="1"/>
    <col min="489" max="489" width="7.7109375" style="21" customWidth="1"/>
    <col min="490" max="491" width="8.28515625" style="21" customWidth="1"/>
    <col min="492" max="492" width="6.28515625" style="21" customWidth="1"/>
    <col min="493" max="494" width="8.7109375" style="21" customWidth="1"/>
    <col min="495" max="495" width="9.5703125" style="21" customWidth="1"/>
    <col min="496" max="496" width="8.7109375" style="21" customWidth="1"/>
    <col min="497" max="497" width="14.5703125" style="21" customWidth="1"/>
    <col min="498" max="498" width="8.7109375" style="21" customWidth="1"/>
    <col min="499" max="499" width="10.42578125" style="21" customWidth="1"/>
    <col min="500" max="502" width="8.7109375" style="21" customWidth="1"/>
    <col min="503" max="503" width="9" style="21"/>
    <col min="504" max="505" width="8.7109375" style="21" customWidth="1"/>
    <col min="506" max="506" width="4.28515625" style="21" customWidth="1"/>
    <col min="507" max="507" width="7" style="21" customWidth="1"/>
    <col min="508" max="508" width="4.28515625" style="21" customWidth="1"/>
    <col min="509" max="509" width="7.7109375" style="21" customWidth="1"/>
    <col min="510" max="726" width="9" style="21"/>
    <col min="727" max="727" width="1.42578125" style="21" customWidth="1"/>
    <col min="728" max="728" width="31.85546875" style="21" customWidth="1"/>
    <col min="729" max="729" width="8.28515625" style="21" customWidth="1"/>
    <col min="730" max="730" width="9.7109375" style="21" customWidth="1"/>
    <col min="731" max="731" width="8.28515625" style="21" customWidth="1"/>
    <col min="732" max="732" width="6.5703125" style="21" customWidth="1"/>
    <col min="733" max="733" width="14" style="21" customWidth="1"/>
    <col min="734" max="734" width="6.7109375" style="21" customWidth="1"/>
    <col min="735" max="735" width="8.85546875" style="21" customWidth="1"/>
    <col min="736" max="736" width="7.7109375" style="21" customWidth="1"/>
    <col min="737" max="737" width="7.28515625" style="21" customWidth="1"/>
    <col min="738" max="738" width="7.7109375" style="21" customWidth="1"/>
    <col min="739" max="739" width="8.28515625" style="21" customWidth="1"/>
    <col min="740" max="741" width="6.7109375" style="21" customWidth="1"/>
    <col min="742" max="742" width="8.85546875" style="21" customWidth="1"/>
    <col min="743" max="744" width="7.5703125" style="21" customWidth="1"/>
    <col min="745" max="745" width="7.7109375" style="21" customWidth="1"/>
    <col min="746" max="747" width="8.28515625" style="21" customWidth="1"/>
    <col min="748" max="748" width="6.28515625" style="21" customWidth="1"/>
    <col min="749" max="750" width="8.7109375" style="21" customWidth="1"/>
    <col min="751" max="751" width="9.5703125" style="21" customWidth="1"/>
    <col min="752" max="752" width="8.7109375" style="21" customWidth="1"/>
    <col min="753" max="753" width="14.5703125" style="21" customWidth="1"/>
    <col min="754" max="754" width="8.7109375" style="21" customWidth="1"/>
    <col min="755" max="755" width="10.42578125" style="21" customWidth="1"/>
    <col min="756" max="758" width="8.7109375" style="21" customWidth="1"/>
    <col min="759" max="759" width="9" style="21"/>
    <col min="760" max="761" width="8.7109375" style="21" customWidth="1"/>
    <col min="762" max="762" width="4.28515625" style="21" customWidth="1"/>
    <col min="763" max="763" width="7" style="21" customWidth="1"/>
    <col min="764" max="764" width="4.28515625" style="21" customWidth="1"/>
    <col min="765" max="765" width="7.7109375" style="21" customWidth="1"/>
    <col min="766" max="982" width="9" style="21"/>
    <col min="983" max="983" width="1.42578125" style="21" customWidth="1"/>
    <col min="984" max="984" width="31.85546875" style="21" customWidth="1"/>
    <col min="985" max="985" width="8.28515625" style="21" customWidth="1"/>
    <col min="986" max="986" width="9.7109375" style="21" customWidth="1"/>
    <col min="987" max="987" width="8.28515625" style="21" customWidth="1"/>
    <col min="988" max="988" width="6.5703125" style="21" customWidth="1"/>
    <col min="989" max="989" width="14" style="21" customWidth="1"/>
    <col min="990" max="990" width="6.7109375" style="21" customWidth="1"/>
    <col min="991" max="991" width="8.85546875" style="21" customWidth="1"/>
    <col min="992" max="992" width="7.7109375" style="21" customWidth="1"/>
    <col min="993" max="993" width="7.28515625" style="21" customWidth="1"/>
    <col min="994" max="994" width="7.7109375" style="21" customWidth="1"/>
    <col min="995" max="995" width="8.28515625" style="21" customWidth="1"/>
    <col min="996" max="997" width="6.7109375" style="21" customWidth="1"/>
    <col min="998" max="998" width="8.85546875" style="21" customWidth="1"/>
    <col min="999" max="1000" width="7.5703125" style="21" customWidth="1"/>
    <col min="1001" max="1001" width="7.7109375" style="21" customWidth="1"/>
    <col min="1002" max="1003" width="8.28515625" style="21" customWidth="1"/>
    <col min="1004" max="1004" width="6.28515625" style="21" customWidth="1"/>
    <col min="1005" max="1006" width="8.7109375" style="21" customWidth="1"/>
    <col min="1007" max="1007" width="9.5703125" style="21" customWidth="1"/>
    <col min="1008" max="1008" width="8.7109375" style="21" customWidth="1"/>
    <col min="1009" max="1009" width="14.5703125" style="21" customWidth="1"/>
    <col min="1010" max="1010" width="8.7109375" style="21" customWidth="1"/>
    <col min="1011" max="1011" width="10.42578125" style="21" customWidth="1"/>
    <col min="1012" max="1014" width="8.7109375" style="21" customWidth="1"/>
    <col min="1015" max="1015" width="9" style="21"/>
    <col min="1016" max="1017" width="8.7109375" style="21" customWidth="1"/>
    <col min="1018" max="1018" width="4.28515625" style="21" customWidth="1"/>
    <col min="1019" max="1019" width="7" style="21" customWidth="1"/>
    <col min="1020" max="1020" width="4.28515625" style="21" customWidth="1"/>
    <col min="1021" max="1021" width="7.7109375" style="21" customWidth="1"/>
    <col min="1022" max="1238" width="9" style="21"/>
    <col min="1239" max="1239" width="1.42578125" style="21" customWidth="1"/>
    <col min="1240" max="1240" width="31.85546875" style="21" customWidth="1"/>
    <col min="1241" max="1241" width="8.28515625" style="21" customWidth="1"/>
    <col min="1242" max="1242" width="9.7109375" style="21" customWidth="1"/>
    <col min="1243" max="1243" width="8.28515625" style="21" customWidth="1"/>
    <col min="1244" max="1244" width="6.5703125" style="21" customWidth="1"/>
    <col min="1245" max="1245" width="14" style="21" customWidth="1"/>
    <col min="1246" max="1246" width="6.7109375" style="21" customWidth="1"/>
    <col min="1247" max="1247" width="8.85546875" style="21" customWidth="1"/>
    <col min="1248" max="1248" width="7.7109375" style="21" customWidth="1"/>
    <col min="1249" max="1249" width="7.28515625" style="21" customWidth="1"/>
    <col min="1250" max="1250" width="7.7109375" style="21" customWidth="1"/>
    <col min="1251" max="1251" width="8.28515625" style="21" customWidth="1"/>
    <col min="1252" max="1253" width="6.7109375" style="21" customWidth="1"/>
    <col min="1254" max="1254" width="8.85546875" style="21" customWidth="1"/>
    <col min="1255" max="1256" width="7.5703125" style="21" customWidth="1"/>
    <col min="1257" max="1257" width="7.7109375" style="21" customWidth="1"/>
    <col min="1258" max="1259" width="8.28515625" style="21" customWidth="1"/>
    <col min="1260" max="1260" width="6.28515625" style="21" customWidth="1"/>
    <col min="1261" max="1262" width="8.7109375" style="21" customWidth="1"/>
    <col min="1263" max="1263" width="9.5703125" style="21" customWidth="1"/>
    <col min="1264" max="1264" width="8.7109375" style="21" customWidth="1"/>
    <col min="1265" max="1265" width="14.5703125" style="21" customWidth="1"/>
    <col min="1266" max="1266" width="8.7109375" style="21" customWidth="1"/>
    <col min="1267" max="1267" width="10.42578125" style="21" customWidth="1"/>
    <col min="1268" max="1270" width="8.7109375" style="21" customWidth="1"/>
    <col min="1271" max="1271" width="9" style="21"/>
    <col min="1272" max="1273" width="8.7109375" style="21" customWidth="1"/>
    <col min="1274" max="1274" width="4.28515625" style="21" customWidth="1"/>
    <col min="1275" max="1275" width="7" style="21" customWidth="1"/>
    <col min="1276" max="1276" width="4.28515625" style="21" customWidth="1"/>
    <col min="1277" max="1277" width="7.7109375" style="21" customWidth="1"/>
    <col min="1278" max="1494" width="9" style="21"/>
    <col min="1495" max="1495" width="1.42578125" style="21" customWidth="1"/>
    <col min="1496" max="1496" width="31.85546875" style="21" customWidth="1"/>
    <col min="1497" max="1497" width="8.28515625" style="21" customWidth="1"/>
    <col min="1498" max="1498" width="9.7109375" style="21" customWidth="1"/>
    <col min="1499" max="1499" width="8.28515625" style="21" customWidth="1"/>
    <col min="1500" max="1500" width="6.5703125" style="21" customWidth="1"/>
    <col min="1501" max="1501" width="14" style="21" customWidth="1"/>
    <col min="1502" max="1502" width="6.7109375" style="21" customWidth="1"/>
    <col min="1503" max="1503" width="8.85546875" style="21" customWidth="1"/>
    <col min="1504" max="1504" width="7.7109375" style="21" customWidth="1"/>
    <col min="1505" max="1505" width="7.28515625" style="21" customWidth="1"/>
    <col min="1506" max="1506" width="7.7109375" style="21" customWidth="1"/>
    <col min="1507" max="1507" width="8.28515625" style="21" customWidth="1"/>
    <col min="1508" max="1509" width="6.7109375" style="21" customWidth="1"/>
    <col min="1510" max="1510" width="8.85546875" style="21" customWidth="1"/>
    <col min="1511" max="1512" width="7.5703125" style="21" customWidth="1"/>
    <col min="1513" max="1513" width="7.7109375" style="21" customWidth="1"/>
    <col min="1514" max="1515" width="8.28515625" style="21" customWidth="1"/>
    <col min="1516" max="1516" width="6.28515625" style="21" customWidth="1"/>
    <col min="1517" max="1518" width="8.7109375" style="21" customWidth="1"/>
    <col min="1519" max="1519" width="9.5703125" style="21" customWidth="1"/>
    <col min="1520" max="1520" width="8.7109375" style="21" customWidth="1"/>
    <col min="1521" max="1521" width="14.5703125" style="21" customWidth="1"/>
    <col min="1522" max="1522" width="8.7109375" style="21" customWidth="1"/>
    <col min="1523" max="1523" width="10.42578125" style="21" customWidth="1"/>
    <col min="1524" max="1526" width="8.7109375" style="21" customWidth="1"/>
    <col min="1527" max="1527" width="9" style="21"/>
    <col min="1528" max="1529" width="8.7109375" style="21" customWidth="1"/>
    <col min="1530" max="1530" width="4.28515625" style="21" customWidth="1"/>
    <col min="1531" max="1531" width="7" style="21" customWidth="1"/>
    <col min="1532" max="1532" width="4.28515625" style="21" customWidth="1"/>
    <col min="1533" max="1533" width="7.7109375" style="21" customWidth="1"/>
    <col min="1534" max="1750" width="9" style="21"/>
    <col min="1751" max="1751" width="1.42578125" style="21" customWidth="1"/>
    <col min="1752" max="1752" width="31.85546875" style="21" customWidth="1"/>
    <col min="1753" max="1753" width="8.28515625" style="21" customWidth="1"/>
    <col min="1754" max="1754" width="9.7109375" style="21" customWidth="1"/>
    <col min="1755" max="1755" width="8.28515625" style="21" customWidth="1"/>
    <col min="1756" max="1756" width="6.5703125" style="21" customWidth="1"/>
    <col min="1757" max="1757" width="14" style="21" customWidth="1"/>
    <col min="1758" max="1758" width="6.7109375" style="21" customWidth="1"/>
    <col min="1759" max="1759" width="8.85546875" style="21" customWidth="1"/>
    <col min="1760" max="1760" width="7.7109375" style="21" customWidth="1"/>
    <col min="1761" max="1761" width="7.28515625" style="21" customWidth="1"/>
    <col min="1762" max="1762" width="7.7109375" style="21" customWidth="1"/>
    <col min="1763" max="1763" width="8.28515625" style="21" customWidth="1"/>
    <col min="1764" max="1765" width="6.7109375" style="21" customWidth="1"/>
    <col min="1766" max="1766" width="8.85546875" style="21" customWidth="1"/>
    <col min="1767" max="1768" width="7.5703125" style="21" customWidth="1"/>
    <col min="1769" max="1769" width="7.7109375" style="21" customWidth="1"/>
    <col min="1770" max="1771" width="8.28515625" style="21" customWidth="1"/>
    <col min="1772" max="1772" width="6.28515625" style="21" customWidth="1"/>
    <col min="1773" max="1774" width="8.7109375" style="21" customWidth="1"/>
    <col min="1775" max="1775" width="9.5703125" style="21" customWidth="1"/>
    <col min="1776" max="1776" width="8.7109375" style="21" customWidth="1"/>
    <col min="1777" max="1777" width="14.5703125" style="21" customWidth="1"/>
    <col min="1778" max="1778" width="8.7109375" style="21" customWidth="1"/>
    <col min="1779" max="1779" width="10.42578125" style="21" customWidth="1"/>
    <col min="1780" max="1782" width="8.7109375" style="21" customWidth="1"/>
    <col min="1783" max="1783" width="9" style="21"/>
    <col min="1784" max="1785" width="8.7109375" style="21" customWidth="1"/>
    <col min="1786" max="1786" width="4.28515625" style="21" customWidth="1"/>
    <col min="1787" max="1787" width="7" style="21" customWidth="1"/>
    <col min="1788" max="1788" width="4.28515625" style="21" customWidth="1"/>
    <col min="1789" max="1789" width="7.7109375" style="21" customWidth="1"/>
    <col min="1790" max="2006" width="9" style="21"/>
    <col min="2007" max="2007" width="1.42578125" style="21" customWidth="1"/>
    <col min="2008" max="2008" width="31.85546875" style="21" customWidth="1"/>
    <col min="2009" max="2009" width="8.28515625" style="21" customWidth="1"/>
    <col min="2010" max="2010" width="9.7109375" style="21" customWidth="1"/>
    <col min="2011" max="2011" width="8.28515625" style="21" customWidth="1"/>
    <col min="2012" max="2012" width="6.5703125" style="21" customWidth="1"/>
    <col min="2013" max="2013" width="14" style="21" customWidth="1"/>
    <col min="2014" max="2014" width="6.7109375" style="21" customWidth="1"/>
    <col min="2015" max="2015" width="8.85546875" style="21" customWidth="1"/>
    <col min="2016" max="2016" width="7.7109375" style="21" customWidth="1"/>
    <col min="2017" max="2017" width="7.28515625" style="21" customWidth="1"/>
    <col min="2018" max="2018" width="7.7109375" style="21" customWidth="1"/>
    <col min="2019" max="2019" width="8.28515625" style="21" customWidth="1"/>
    <col min="2020" max="2021" width="6.7109375" style="21" customWidth="1"/>
    <col min="2022" max="2022" width="8.85546875" style="21" customWidth="1"/>
    <col min="2023" max="2024" width="7.5703125" style="21" customWidth="1"/>
    <col min="2025" max="2025" width="7.7109375" style="21" customWidth="1"/>
    <col min="2026" max="2027" width="8.28515625" style="21" customWidth="1"/>
    <col min="2028" max="2028" width="6.28515625" style="21" customWidth="1"/>
    <col min="2029" max="2030" width="8.7109375" style="21" customWidth="1"/>
    <col min="2031" max="2031" width="9.5703125" style="21" customWidth="1"/>
    <col min="2032" max="2032" width="8.7109375" style="21" customWidth="1"/>
    <col min="2033" max="2033" width="14.5703125" style="21" customWidth="1"/>
    <col min="2034" max="2034" width="8.7109375" style="21" customWidth="1"/>
    <col min="2035" max="2035" width="10.42578125" style="21" customWidth="1"/>
    <col min="2036" max="2038" width="8.7109375" style="21" customWidth="1"/>
    <col min="2039" max="2039" width="9" style="21"/>
    <col min="2040" max="2041" width="8.7109375" style="21" customWidth="1"/>
    <col min="2042" max="2042" width="4.28515625" style="21" customWidth="1"/>
    <col min="2043" max="2043" width="7" style="21" customWidth="1"/>
    <col min="2044" max="2044" width="4.28515625" style="21" customWidth="1"/>
    <col min="2045" max="2045" width="7.7109375" style="21" customWidth="1"/>
    <col min="2046" max="2262" width="9" style="21"/>
    <col min="2263" max="2263" width="1.42578125" style="21" customWidth="1"/>
    <col min="2264" max="2264" width="31.85546875" style="21" customWidth="1"/>
    <col min="2265" max="2265" width="8.28515625" style="21" customWidth="1"/>
    <col min="2266" max="2266" width="9.7109375" style="21" customWidth="1"/>
    <col min="2267" max="2267" width="8.28515625" style="21" customWidth="1"/>
    <col min="2268" max="2268" width="6.5703125" style="21" customWidth="1"/>
    <col min="2269" max="2269" width="14" style="21" customWidth="1"/>
    <col min="2270" max="2270" width="6.7109375" style="21" customWidth="1"/>
    <col min="2271" max="2271" width="8.85546875" style="21" customWidth="1"/>
    <col min="2272" max="2272" width="7.7109375" style="21" customWidth="1"/>
    <col min="2273" max="2273" width="7.28515625" style="21" customWidth="1"/>
    <col min="2274" max="2274" width="7.7109375" style="21" customWidth="1"/>
    <col min="2275" max="2275" width="8.28515625" style="21" customWidth="1"/>
    <col min="2276" max="2277" width="6.7109375" style="21" customWidth="1"/>
    <col min="2278" max="2278" width="8.85546875" style="21" customWidth="1"/>
    <col min="2279" max="2280" width="7.5703125" style="21" customWidth="1"/>
    <col min="2281" max="2281" width="7.7109375" style="21" customWidth="1"/>
    <col min="2282" max="2283" width="8.28515625" style="21" customWidth="1"/>
    <col min="2284" max="2284" width="6.28515625" style="21" customWidth="1"/>
    <col min="2285" max="2286" width="8.7109375" style="21" customWidth="1"/>
    <col min="2287" max="2287" width="9.5703125" style="21" customWidth="1"/>
    <col min="2288" max="2288" width="8.7109375" style="21" customWidth="1"/>
    <col min="2289" max="2289" width="14.5703125" style="21" customWidth="1"/>
    <col min="2290" max="2290" width="8.7109375" style="21" customWidth="1"/>
    <col min="2291" max="2291" width="10.42578125" style="21" customWidth="1"/>
    <col min="2292" max="2294" width="8.7109375" style="21" customWidth="1"/>
    <col min="2295" max="2295" width="9" style="21"/>
    <col min="2296" max="2297" width="8.7109375" style="21" customWidth="1"/>
    <col min="2298" max="2298" width="4.28515625" style="21" customWidth="1"/>
    <col min="2299" max="2299" width="7" style="21" customWidth="1"/>
    <col min="2300" max="2300" width="4.28515625" style="21" customWidth="1"/>
    <col min="2301" max="2301" width="7.7109375" style="21" customWidth="1"/>
    <col min="2302" max="2518" width="9" style="21"/>
    <col min="2519" max="2519" width="1.42578125" style="21" customWidth="1"/>
    <col min="2520" max="2520" width="31.85546875" style="21" customWidth="1"/>
    <col min="2521" max="2521" width="8.28515625" style="21" customWidth="1"/>
    <col min="2522" max="2522" width="9.7109375" style="21" customWidth="1"/>
    <col min="2523" max="2523" width="8.28515625" style="21" customWidth="1"/>
    <col min="2524" max="2524" width="6.5703125" style="21" customWidth="1"/>
    <col min="2525" max="2525" width="14" style="21" customWidth="1"/>
    <col min="2526" max="2526" width="6.7109375" style="21" customWidth="1"/>
    <col min="2527" max="2527" width="8.85546875" style="21" customWidth="1"/>
    <col min="2528" max="2528" width="7.7109375" style="21" customWidth="1"/>
    <col min="2529" max="2529" width="7.28515625" style="21" customWidth="1"/>
    <col min="2530" max="2530" width="7.7109375" style="21" customWidth="1"/>
    <col min="2531" max="2531" width="8.28515625" style="21" customWidth="1"/>
    <col min="2532" max="2533" width="6.7109375" style="21" customWidth="1"/>
    <col min="2534" max="2534" width="8.85546875" style="21" customWidth="1"/>
    <col min="2535" max="2536" width="7.5703125" style="21" customWidth="1"/>
    <col min="2537" max="2537" width="7.7109375" style="21" customWidth="1"/>
    <col min="2538" max="2539" width="8.28515625" style="21" customWidth="1"/>
    <col min="2540" max="2540" width="6.28515625" style="21" customWidth="1"/>
    <col min="2541" max="2542" width="8.7109375" style="21" customWidth="1"/>
    <col min="2543" max="2543" width="9.5703125" style="21" customWidth="1"/>
    <col min="2544" max="2544" width="8.7109375" style="21" customWidth="1"/>
    <col min="2545" max="2545" width="14.5703125" style="21" customWidth="1"/>
    <col min="2546" max="2546" width="8.7109375" style="21" customWidth="1"/>
    <col min="2547" max="2547" width="10.42578125" style="21" customWidth="1"/>
    <col min="2548" max="2550" width="8.7109375" style="21" customWidth="1"/>
    <col min="2551" max="2551" width="9" style="21"/>
    <col min="2552" max="2553" width="8.7109375" style="21" customWidth="1"/>
    <col min="2554" max="2554" width="4.28515625" style="21" customWidth="1"/>
    <col min="2555" max="2555" width="7" style="21" customWidth="1"/>
    <col min="2556" max="2556" width="4.28515625" style="21" customWidth="1"/>
    <col min="2557" max="2557" width="7.7109375" style="21" customWidth="1"/>
    <col min="2558" max="2774" width="9" style="21"/>
    <col min="2775" max="2775" width="1.42578125" style="21" customWidth="1"/>
    <col min="2776" max="2776" width="31.85546875" style="21" customWidth="1"/>
    <col min="2777" max="2777" width="8.28515625" style="21" customWidth="1"/>
    <col min="2778" max="2778" width="9.7109375" style="21" customWidth="1"/>
    <col min="2779" max="2779" width="8.28515625" style="21" customWidth="1"/>
    <col min="2780" max="2780" width="6.5703125" style="21" customWidth="1"/>
    <col min="2781" max="2781" width="14" style="21" customWidth="1"/>
    <col min="2782" max="2782" width="6.7109375" style="21" customWidth="1"/>
    <col min="2783" max="2783" width="8.85546875" style="21" customWidth="1"/>
    <col min="2784" max="2784" width="7.7109375" style="21" customWidth="1"/>
    <col min="2785" max="2785" width="7.28515625" style="21" customWidth="1"/>
    <col min="2786" max="2786" width="7.7109375" style="21" customWidth="1"/>
    <col min="2787" max="2787" width="8.28515625" style="21" customWidth="1"/>
    <col min="2788" max="2789" width="6.7109375" style="21" customWidth="1"/>
    <col min="2790" max="2790" width="8.85546875" style="21" customWidth="1"/>
    <col min="2791" max="2792" width="7.5703125" style="21" customWidth="1"/>
    <col min="2793" max="2793" width="7.7109375" style="21" customWidth="1"/>
    <col min="2794" max="2795" width="8.28515625" style="21" customWidth="1"/>
    <col min="2796" max="2796" width="6.28515625" style="21" customWidth="1"/>
    <col min="2797" max="2798" width="8.7109375" style="21" customWidth="1"/>
    <col min="2799" max="2799" width="9.5703125" style="21" customWidth="1"/>
    <col min="2800" max="2800" width="8.7109375" style="21" customWidth="1"/>
    <col min="2801" max="2801" width="14.5703125" style="21" customWidth="1"/>
    <col min="2802" max="2802" width="8.7109375" style="21" customWidth="1"/>
    <col min="2803" max="2803" width="10.42578125" style="21" customWidth="1"/>
    <col min="2804" max="2806" width="8.7109375" style="21" customWidth="1"/>
    <col min="2807" max="2807" width="9" style="21"/>
    <col min="2808" max="2809" width="8.7109375" style="21" customWidth="1"/>
    <col min="2810" max="2810" width="4.28515625" style="21" customWidth="1"/>
    <col min="2811" max="2811" width="7" style="21" customWidth="1"/>
    <col min="2812" max="2812" width="4.28515625" style="21" customWidth="1"/>
    <col min="2813" max="2813" width="7.7109375" style="21" customWidth="1"/>
    <col min="2814" max="3030" width="9" style="21"/>
    <col min="3031" max="3031" width="1.42578125" style="21" customWidth="1"/>
    <col min="3032" max="3032" width="31.85546875" style="21" customWidth="1"/>
    <col min="3033" max="3033" width="8.28515625" style="21" customWidth="1"/>
    <col min="3034" max="3034" width="9.7109375" style="21" customWidth="1"/>
    <col min="3035" max="3035" width="8.28515625" style="21" customWidth="1"/>
    <col min="3036" max="3036" width="6.5703125" style="21" customWidth="1"/>
    <col min="3037" max="3037" width="14" style="21" customWidth="1"/>
    <col min="3038" max="3038" width="6.7109375" style="21" customWidth="1"/>
    <col min="3039" max="3039" width="8.85546875" style="21" customWidth="1"/>
    <col min="3040" max="3040" width="7.7109375" style="21" customWidth="1"/>
    <col min="3041" max="3041" width="7.28515625" style="21" customWidth="1"/>
    <col min="3042" max="3042" width="7.7109375" style="21" customWidth="1"/>
    <col min="3043" max="3043" width="8.28515625" style="21" customWidth="1"/>
    <col min="3044" max="3045" width="6.7109375" style="21" customWidth="1"/>
    <col min="3046" max="3046" width="8.85546875" style="21" customWidth="1"/>
    <col min="3047" max="3048" width="7.5703125" style="21" customWidth="1"/>
    <col min="3049" max="3049" width="7.7109375" style="21" customWidth="1"/>
    <col min="3050" max="3051" width="8.28515625" style="21" customWidth="1"/>
    <col min="3052" max="3052" width="6.28515625" style="21" customWidth="1"/>
    <col min="3053" max="3054" width="8.7109375" style="21" customWidth="1"/>
    <col min="3055" max="3055" width="9.5703125" style="21" customWidth="1"/>
    <col min="3056" max="3056" width="8.7109375" style="21" customWidth="1"/>
    <col min="3057" max="3057" width="14.5703125" style="21" customWidth="1"/>
    <col min="3058" max="3058" width="8.7109375" style="21" customWidth="1"/>
    <col min="3059" max="3059" width="10.42578125" style="21" customWidth="1"/>
    <col min="3060" max="3062" width="8.7109375" style="21" customWidth="1"/>
    <col min="3063" max="3063" width="9" style="21"/>
    <col min="3064" max="3065" width="8.7109375" style="21" customWidth="1"/>
    <col min="3066" max="3066" width="4.28515625" style="21" customWidth="1"/>
    <col min="3067" max="3067" width="7" style="21" customWidth="1"/>
    <col min="3068" max="3068" width="4.28515625" style="21" customWidth="1"/>
    <col min="3069" max="3069" width="7.7109375" style="21" customWidth="1"/>
    <col min="3070" max="3286" width="9" style="21"/>
    <col min="3287" max="3287" width="1.42578125" style="21" customWidth="1"/>
    <col min="3288" max="3288" width="31.85546875" style="21" customWidth="1"/>
    <col min="3289" max="3289" width="8.28515625" style="21" customWidth="1"/>
    <col min="3290" max="3290" width="9.7109375" style="21" customWidth="1"/>
    <col min="3291" max="3291" width="8.28515625" style="21" customWidth="1"/>
    <col min="3292" max="3292" width="6.5703125" style="21" customWidth="1"/>
    <col min="3293" max="3293" width="14" style="21" customWidth="1"/>
    <col min="3294" max="3294" width="6.7109375" style="21" customWidth="1"/>
    <col min="3295" max="3295" width="8.85546875" style="21" customWidth="1"/>
    <col min="3296" max="3296" width="7.7109375" style="21" customWidth="1"/>
    <col min="3297" max="3297" width="7.28515625" style="21" customWidth="1"/>
    <col min="3298" max="3298" width="7.7109375" style="21" customWidth="1"/>
    <col min="3299" max="3299" width="8.28515625" style="21" customWidth="1"/>
    <col min="3300" max="3301" width="6.7109375" style="21" customWidth="1"/>
    <col min="3302" max="3302" width="8.85546875" style="21" customWidth="1"/>
    <col min="3303" max="3304" width="7.5703125" style="21" customWidth="1"/>
    <col min="3305" max="3305" width="7.7109375" style="21" customWidth="1"/>
    <col min="3306" max="3307" width="8.28515625" style="21" customWidth="1"/>
    <col min="3308" max="3308" width="6.28515625" style="21" customWidth="1"/>
    <col min="3309" max="3310" width="8.7109375" style="21" customWidth="1"/>
    <col min="3311" max="3311" width="9.5703125" style="21" customWidth="1"/>
    <col min="3312" max="3312" width="8.7109375" style="21" customWidth="1"/>
    <col min="3313" max="3313" width="14.5703125" style="21" customWidth="1"/>
    <col min="3314" max="3314" width="8.7109375" style="21" customWidth="1"/>
    <col min="3315" max="3315" width="10.42578125" style="21" customWidth="1"/>
    <col min="3316" max="3318" width="8.7109375" style="21" customWidth="1"/>
    <col min="3319" max="3319" width="9" style="21"/>
    <col min="3320" max="3321" width="8.7109375" style="21" customWidth="1"/>
    <col min="3322" max="3322" width="4.28515625" style="21" customWidth="1"/>
    <col min="3323" max="3323" width="7" style="21" customWidth="1"/>
    <col min="3324" max="3324" width="4.28515625" style="21" customWidth="1"/>
    <col min="3325" max="3325" width="7.7109375" style="21" customWidth="1"/>
    <col min="3326" max="3542" width="9" style="21"/>
    <col min="3543" max="3543" width="1.42578125" style="21" customWidth="1"/>
    <col min="3544" max="3544" width="31.85546875" style="21" customWidth="1"/>
    <col min="3545" max="3545" width="8.28515625" style="21" customWidth="1"/>
    <col min="3546" max="3546" width="9.7109375" style="21" customWidth="1"/>
    <col min="3547" max="3547" width="8.28515625" style="21" customWidth="1"/>
    <col min="3548" max="3548" width="6.5703125" style="21" customWidth="1"/>
    <col min="3549" max="3549" width="14" style="21" customWidth="1"/>
    <col min="3550" max="3550" width="6.7109375" style="21" customWidth="1"/>
    <col min="3551" max="3551" width="8.85546875" style="21" customWidth="1"/>
    <col min="3552" max="3552" width="7.7109375" style="21" customWidth="1"/>
    <col min="3553" max="3553" width="7.28515625" style="21" customWidth="1"/>
    <col min="3554" max="3554" width="7.7109375" style="21" customWidth="1"/>
    <col min="3555" max="3555" width="8.28515625" style="21" customWidth="1"/>
    <col min="3556" max="3557" width="6.7109375" style="21" customWidth="1"/>
    <col min="3558" max="3558" width="8.85546875" style="21" customWidth="1"/>
    <col min="3559" max="3560" width="7.5703125" style="21" customWidth="1"/>
    <col min="3561" max="3561" width="7.7109375" style="21" customWidth="1"/>
    <col min="3562" max="3563" width="8.28515625" style="21" customWidth="1"/>
    <col min="3564" max="3564" width="6.28515625" style="21" customWidth="1"/>
    <col min="3565" max="3566" width="8.7109375" style="21" customWidth="1"/>
    <col min="3567" max="3567" width="9.5703125" style="21" customWidth="1"/>
    <col min="3568" max="3568" width="8.7109375" style="21" customWidth="1"/>
    <col min="3569" max="3569" width="14.5703125" style="21" customWidth="1"/>
    <col min="3570" max="3570" width="8.7109375" style="21" customWidth="1"/>
    <col min="3571" max="3571" width="10.42578125" style="21" customWidth="1"/>
    <col min="3572" max="3574" width="8.7109375" style="21" customWidth="1"/>
    <col min="3575" max="3575" width="9" style="21"/>
    <col min="3576" max="3577" width="8.7109375" style="21" customWidth="1"/>
    <col min="3578" max="3578" width="4.28515625" style="21" customWidth="1"/>
    <col min="3579" max="3579" width="7" style="21" customWidth="1"/>
    <col min="3580" max="3580" width="4.28515625" style="21" customWidth="1"/>
    <col min="3581" max="3581" width="7.7109375" style="21" customWidth="1"/>
    <col min="3582" max="3798" width="9" style="21"/>
    <col min="3799" max="3799" width="1.42578125" style="21" customWidth="1"/>
    <col min="3800" max="3800" width="31.85546875" style="21" customWidth="1"/>
    <col min="3801" max="3801" width="8.28515625" style="21" customWidth="1"/>
    <col min="3802" max="3802" width="9.7109375" style="21" customWidth="1"/>
    <col min="3803" max="3803" width="8.28515625" style="21" customWidth="1"/>
    <col min="3804" max="3804" width="6.5703125" style="21" customWidth="1"/>
    <col min="3805" max="3805" width="14" style="21" customWidth="1"/>
    <col min="3806" max="3806" width="6.7109375" style="21" customWidth="1"/>
    <col min="3807" max="3807" width="8.85546875" style="21" customWidth="1"/>
    <col min="3808" max="3808" width="7.7109375" style="21" customWidth="1"/>
    <col min="3809" max="3809" width="7.28515625" style="21" customWidth="1"/>
    <col min="3810" max="3810" width="7.7109375" style="21" customWidth="1"/>
    <col min="3811" max="3811" width="8.28515625" style="21" customWidth="1"/>
    <col min="3812" max="3813" width="6.7109375" style="21" customWidth="1"/>
    <col min="3814" max="3814" width="8.85546875" style="21" customWidth="1"/>
    <col min="3815" max="3816" width="7.5703125" style="21" customWidth="1"/>
    <col min="3817" max="3817" width="7.7109375" style="21" customWidth="1"/>
    <col min="3818" max="3819" width="8.28515625" style="21" customWidth="1"/>
    <col min="3820" max="3820" width="6.28515625" style="21" customWidth="1"/>
    <col min="3821" max="3822" width="8.7109375" style="21" customWidth="1"/>
    <col min="3823" max="3823" width="9.5703125" style="21" customWidth="1"/>
    <col min="3824" max="3824" width="8.7109375" style="21" customWidth="1"/>
    <col min="3825" max="3825" width="14.5703125" style="21" customWidth="1"/>
    <col min="3826" max="3826" width="8.7109375" style="21" customWidth="1"/>
    <col min="3827" max="3827" width="10.42578125" style="21" customWidth="1"/>
    <col min="3828" max="3830" width="8.7109375" style="21" customWidth="1"/>
    <col min="3831" max="3831" width="9" style="21"/>
    <col min="3832" max="3833" width="8.7109375" style="21" customWidth="1"/>
    <col min="3834" max="3834" width="4.28515625" style="21" customWidth="1"/>
    <col min="3835" max="3835" width="7" style="21" customWidth="1"/>
    <col min="3836" max="3836" width="4.28515625" style="21" customWidth="1"/>
    <col min="3837" max="3837" width="7.7109375" style="21" customWidth="1"/>
    <col min="3838" max="4054" width="9" style="21"/>
    <col min="4055" max="4055" width="1.42578125" style="21" customWidth="1"/>
    <col min="4056" max="4056" width="31.85546875" style="21" customWidth="1"/>
    <col min="4057" max="4057" width="8.28515625" style="21" customWidth="1"/>
    <col min="4058" max="4058" width="9.7109375" style="21" customWidth="1"/>
    <col min="4059" max="4059" width="8.28515625" style="21" customWidth="1"/>
    <col min="4060" max="4060" width="6.5703125" style="21" customWidth="1"/>
    <col min="4061" max="4061" width="14" style="21" customWidth="1"/>
    <col min="4062" max="4062" width="6.7109375" style="21" customWidth="1"/>
    <col min="4063" max="4063" width="8.85546875" style="21" customWidth="1"/>
    <col min="4064" max="4064" width="7.7109375" style="21" customWidth="1"/>
    <col min="4065" max="4065" width="7.28515625" style="21" customWidth="1"/>
    <col min="4066" max="4066" width="7.7109375" style="21" customWidth="1"/>
    <col min="4067" max="4067" width="8.28515625" style="21" customWidth="1"/>
    <col min="4068" max="4069" width="6.7109375" style="21" customWidth="1"/>
    <col min="4070" max="4070" width="8.85546875" style="21" customWidth="1"/>
    <col min="4071" max="4072" width="7.5703125" style="21" customWidth="1"/>
    <col min="4073" max="4073" width="7.7109375" style="21" customWidth="1"/>
    <col min="4074" max="4075" width="8.28515625" style="21" customWidth="1"/>
    <col min="4076" max="4076" width="6.28515625" style="21" customWidth="1"/>
    <col min="4077" max="4078" width="8.7109375" style="21" customWidth="1"/>
    <col min="4079" max="4079" width="9.5703125" style="21" customWidth="1"/>
    <col min="4080" max="4080" width="8.7109375" style="21" customWidth="1"/>
    <col min="4081" max="4081" width="14.5703125" style="21" customWidth="1"/>
    <col min="4082" max="4082" width="8.7109375" style="21" customWidth="1"/>
    <col min="4083" max="4083" width="10.42578125" style="21" customWidth="1"/>
    <col min="4084" max="4086" width="8.7109375" style="21" customWidth="1"/>
    <col min="4087" max="4087" width="9" style="21"/>
    <col min="4088" max="4089" width="8.7109375" style="21" customWidth="1"/>
    <col min="4090" max="4090" width="4.28515625" style="21" customWidth="1"/>
    <col min="4091" max="4091" width="7" style="21" customWidth="1"/>
    <col min="4092" max="4092" width="4.28515625" style="21" customWidth="1"/>
    <col min="4093" max="4093" width="7.7109375" style="21" customWidth="1"/>
    <col min="4094" max="4310" width="9" style="21"/>
    <col min="4311" max="4311" width="1.42578125" style="21" customWidth="1"/>
    <col min="4312" max="4312" width="31.85546875" style="21" customWidth="1"/>
    <col min="4313" max="4313" width="8.28515625" style="21" customWidth="1"/>
    <col min="4314" max="4314" width="9.7109375" style="21" customWidth="1"/>
    <col min="4315" max="4315" width="8.28515625" style="21" customWidth="1"/>
    <col min="4316" max="4316" width="6.5703125" style="21" customWidth="1"/>
    <col min="4317" max="4317" width="14" style="21" customWidth="1"/>
    <col min="4318" max="4318" width="6.7109375" style="21" customWidth="1"/>
    <col min="4319" max="4319" width="8.85546875" style="21" customWidth="1"/>
    <col min="4320" max="4320" width="7.7109375" style="21" customWidth="1"/>
    <col min="4321" max="4321" width="7.28515625" style="21" customWidth="1"/>
    <col min="4322" max="4322" width="7.7109375" style="21" customWidth="1"/>
    <col min="4323" max="4323" width="8.28515625" style="21" customWidth="1"/>
    <col min="4324" max="4325" width="6.7109375" style="21" customWidth="1"/>
    <col min="4326" max="4326" width="8.85546875" style="21" customWidth="1"/>
    <col min="4327" max="4328" width="7.5703125" style="21" customWidth="1"/>
    <col min="4329" max="4329" width="7.7109375" style="21" customWidth="1"/>
    <col min="4330" max="4331" width="8.28515625" style="21" customWidth="1"/>
    <col min="4332" max="4332" width="6.28515625" style="21" customWidth="1"/>
    <col min="4333" max="4334" width="8.7109375" style="21" customWidth="1"/>
    <col min="4335" max="4335" width="9.5703125" style="21" customWidth="1"/>
    <col min="4336" max="4336" width="8.7109375" style="21" customWidth="1"/>
    <col min="4337" max="4337" width="14.5703125" style="21" customWidth="1"/>
    <col min="4338" max="4338" width="8.7109375" style="21" customWidth="1"/>
    <col min="4339" max="4339" width="10.42578125" style="21" customWidth="1"/>
    <col min="4340" max="4342" width="8.7109375" style="21" customWidth="1"/>
    <col min="4343" max="4343" width="9" style="21"/>
    <col min="4344" max="4345" width="8.7109375" style="21" customWidth="1"/>
    <col min="4346" max="4346" width="4.28515625" style="21" customWidth="1"/>
    <col min="4347" max="4347" width="7" style="21" customWidth="1"/>
    <col min="4348" max="4348" width="4.28515625" style="21" customWidth="1"/>
    <col min="4349" max="4349" width="7.7109375" style="21" customWidth="1"/>
    <col min="4350" max="4566" width="9" style="21"/>
    <col min="4567" max="4567" width="1.42578125" style="21" customWidth="1"/>
    <col min="4568" max="4568" width="31.85546875" style="21" customWidth="1"/>
    <col min="4569" max="4569" width="8.28515625" style="21" customWidth="1"/>
    <col min="4570" max="4570" width="9.7109375" style="21" customWidth="1"/>
    <col min="4571" max="4571" width="8.28515625" style="21" customWidth="1"/>
    <col min="4572" max="4572" width="6.5703125" style="21" customWidth="1"/>
    <col min="4573" max="4573" width="14" style="21" customWidth="1"/>
    <col min="4574" max="4574" width="6.7109375" style="21" customWidth="1"/>
    <col min="4575" max="4575" width="8.85546875" style="21" customWidth="1"/>
    <col min="4576" max="4576" width="7.7109375" style="21" customWidth="1"/>
    <col min="4577" max="4577" width="7.28515625" style="21" customWidth="1"/>
    <col min="4578" max="4578" width="7.7109375" style="21" customWidth="1"/>
    <col min="4579" max="4579" width="8.28515625" style="21" customWidth="1"/>
    <col min="4580" max="4581" width="6.7109375" style="21" customWidth="1"/>
    <col min="4582" max="4582" width="8.85546875" style="21" customWidth="1"/>
    <col min="4583" max="4584" width="7.5703125" style="21" customWidth="1"/>
    <col min="4585" max="4585" width="7.7109375" style="21" customWidth="1"/>
    <col min="4586" max="4587" width="8.28515625" style="21" customWidth="1"/>
    <col min="4588" max="4588" width="6.28515625" style="21" customWidth="1"/>
    <col min="4589" max="4590" width="8.7109375" style="21" customWidth="1"/>
    <col min="4591" max="4591" width="9.5703125" style="21" customWidth="1"/>
    <col min="4592" max="4592" width="8.7109375" style="21" customWidth="1"/>
    <col min="4593" max="4593" width="14.5703125" style="21" customWidth="1"/>
    <col min="4594" max="4594" width="8.7109375" style="21" customWidth="1"/>
    <col min="4595" max="4595" width="10.42578125" style="21" customWidth="1"/>
    <col min="4596" max="4598" width="8.7109375" style="21" customWidth="1"/>
    <col min="4599" max="4599" width="9" style="21"/>
    <col min="4600" max="4601" width="8.7109375" style="21" customWidth="1"/>
    <col min="4602" max="4602" width="4.28515625" style="21" customWidth="1"/>
    <col min="4603" max="4603" width="7" style="21" customWidth="1"/>
    <col min="4604" max="4604" width="4.28515625" style="21" customWidth="1"/>
    <col min="4605" max="4605" width="7.7109375" style="21" customWidth="1"/>
    <col min="4606" max="4822" width="9" style="21"/>
    <col min="4823" max="4823" width="1.42578125" style="21" customWidth="1"/>
    <col min="4824" max="4824" width="31.85546875" style="21" customWidth="1"/>
    <col min="4825" max="4825" width="8.28515625" style="21" customWidth="1"/>
    <col min="4826" max="4826" width="9.7109375" style="21" customWidth="1"/>
    <col min="4827" max="4827" width="8.28515625" style="21" customWidth="1"/>
    <col min="4828" max="4828" width="6.5703125" style="21" customWidth="1"/>
    <col min="4829" max="4829" width="14" style="21" customWidth="1"/>
    <col min="4830" max="4830" width="6.7109375" style="21" customWidth="1"/>
    <col min="4831" max="4831" width="8.85546875" style="21" customWidth="1"/>
    <col min="4832" max="4832" width="7.7109375" style="21" customWidth="1"/>
    <col min="4833" max="4833" width="7.28515625" style="21" customWidth="1"/>
    <col min="4834" max="4834" width="7.7109375" style="21" customWidth="1"/>
    <col min="4835" max="4835" width="8.28515625" style="21" customWidth="1"/>
    <col min="4836" max="4837" width="6.7109375" style="21" customWidth="1"/>
    <col min="4838" max="4838" width="8.85546875" style="21" customWidth="1"/>
    <col min="4839" max="4840" width="7.5703125" style="21" customWidth="1"/>
    <col min="4841" max="4841" width="7.7109375" style="21" customWidth="1"/>
    <col min="4842" max="4843" width="8.28515625" style="21" customWidth="1"/>
    <col min="4844" max="4844" width="6.28515625" style="21" customWidth="1"/>
    <col min="4845" max="4846" width="8.7109375" style="21" customWidth="1"/>
    <col min="4847" max="4847" width="9.5703125" style="21" customWidth="1"/>
    <col min="4848" max="4848" width="8.7109375" style="21" customWidth="1"/>
    <col min="4849" max="4849" width="14.5703125" style="21" customWidth="1"/>
    <col min="4850" max="4850" width="8.7109375" style="21" customWidth="1"/>
    <col min="4851" max="4851" width="10.42578125" style="21" customWidth="1"/>
    <col min="4852" max="4854" width="8.7109375" style="21" customWidth="1"/>
    <col min="4855" max="4855" width="9" style="21"/>
    <col min="4856" max="4857" width="8.7109375" style="21" customWidth="1"/>
    <col min="4858" max="4858" width="4.28515625" style="21" customWidth="1"/>
    <col min="4859" max="4859" width="7" style="21" customWidth="1"/>
    <col min="4860" max="4860" width="4.28515625" style="21" customWidth="1"/>
    <col min="4861" max="4861" width="7.7109375" style="21" customWidth="1"/>
    <col min="4862" max="5078" width="9" style="21"/>
    <col min="5079" max="5079" width="1.42578125" style="21" customWidth="1"/>
    <col min="5080" max="5080" width="31.85546875" style="21" customWidth="1"/>
    <col min="5081" max="5081" width="8.28515625" style="21" customWidth="1"/>
    <col min="5082" max="5082" width="9.7109375" style="21" customWidth="1"/>
    <col min="5083" max="5083" width="8.28515625" style="21" customWidth="1"/>
    <col min="5084" max="5084" width="6.5703125" style="21" customWidth="1"/>
    <col min="5085" max="5085" width="14" style="21" customWidth="1"/>
    <col min="5086" max="5086" width="6.7109375" style="21" customWidth="1"/>
    <col min="5087" max="5087" width="8.85546875" style="21" customWidth="1"/>
    <col min="5088" max="5088" width="7.7109375" style="21" customWidth="1"/>
    <col min="5089" max="5089" width="7.28515625" style="21" customWidth="1"/>
    <col min="5090" max="5090" width="7.7109375" style="21" customWidth="1"/>
    <col min="5091" max="5091" width="8.28515625" style="21" customWidth="1"/>
    <col min="5092" max="5093" width="6.7109375" style="21" customWidth="1"/>
    <col min="5094" max="5094" width="8.85546875" style="21" customWidth="1"/>
    <col min="5095" max="5096" width="7.5703125" style="21" customWidth="1"/>
    <col min="5097" max="5097" width="7.7109375" style="21" customWidth="1"/>
    <col min="5098" max="5099" width="8.28515625" style="21" customWidth="1"/>
    <col min="5100" max="5100" width="6.28515625" style="21" customWidth="1"/>
    <col min="5101" max="5102" width="8.7109375" style="21" customWidth="1"/>
    <col min="5103" max="5103" width="9.5703125" style="21" customWidth="1"/>
    <col min="5104" max="5104" width="8.7109375" style="21" customWidth="1"/>
    <col min="5105" max="5105" width="14.5703125" style="21" customWidth="1"/>
    <col min="5106" max="5106" width="8.7109375" style="21" customWidth="1"/>
    <col min="5107" max="5107" width="10.42578125" style="21" customWidth="1"/>
    <col min="5108" max="5110" width="8.7109375" style="21" customWidth="1"/>
    <col min="5111" max="5111" width="9" style="21"/>
    <col min="5112" max="5113" width="8.7109375" style="21" customWidth="1"/>
    <col min="5114" max="5114" width="4.28515625" style="21" customWidth="1"/>
    <col min="5115" max="5115" width="7" style="21" customWidth="1"/>
    <col min="5116" max="5116" width="4.28515625" style="21" customWidth="1"/>
    <col min="5117" max="5117" width="7.7109375" style="21" customWidth="1"/>
    <col min="5118" max="5334" width="9" style="21"/>
    <col min="5335" max="5335" width="1.42578125" style="21" customWidth="1"/>
    <col min="5336" max="5336" width="31.85546875" style="21" customWidth="1"/>
    <col min="5337" max="5337" width="8.28515625" style="21" customWidth="1"/>
    <col min="5338" max="5338" width="9.7109375" style="21" customWidth="1"/>
    <col min="5339" max="5339" width="8.28515625" style="21" customWidth="1"/>
    <col min="5340" max="5340" width="6.5703125" style="21" customWidth="1"/>
    <col min="5341" max="5341" width="14" style="21" customWidth="1"/>
    <col min="5342" max="5342" width="6.7109375" style="21" customWidth="1"/>
    <col min="5343" max="5343" width="8.85546875" style="21" customWidth="1"/>
    <col min="5344" max="5344" width="7.7109375" style="21" customWidth="1"/>
    <col min="5345" max="5345" width="7.28515625" style="21" customWidth="1"/>
    <col min="5346" max="5346" width="7.7109375" style="21" customWidth="1"/>
    <col min="5347" max="5347" width="8.28515625" style="21" customWidth="1"/>
    <col min="5348" max="5349" width="6.7109375" style="21" customWidth="1"/>
    <col min="5350" max="5350" width="8.85546875" style="21" customWidth="1"/>
    <col min="5351" max="5352" width="7.5703125" style="21" customWidth="1"/>
    <col min="5353" max="5353" width="7.7109375" style="21" customWidth="1"/>
    <col min="5354" max="5355" width="8.28515625" style="21" customWidth="1"/>
    <col min="5356" max="5356" width="6.28515625" style="21" customWidth="1"/>
    <col min="5357" max="5358" width="8.7109375" style="21" customWidth="1"/>
    <col min="5359" max="5359" width="9.5703125" style="21" customWidth="1"/>
    <col min="5360" max="5360" width="8.7109375" style="21" customWidth="1"/>
    <col min="5361" max="5361" width="14.5703125" style="21" customWidth="1"/>
    <col min="5362" max="5362" width="8.7109375" style="21" customWidth="1"/>
    <col min="5363" max="5363" width="10.42578125" style="21" customWidth="1"/>
    <col min="5364" max="5366" width="8.7109375" style="21" customWidth="1"/>
    <col min="5367" max="5367" width="9" style="21"/>
    <col min="5368" max="5369" width="8.7109375" style="21" customWidth="1"/>
    <col min="5370" max="5370" width="4.28515625" style="21" customWidth="1"/>
    <col min="5371" max="5371" width="7" style="21" customWidth="1"/>
    <col min="5372" max="5372" width="4.28515625" style="21" customWidth="1"/>
    <col min="5373" max="5373" width="7.7109375" style="21" customWidth="1"/>
    <col min="5374" max="5590" width="9" style="21"/>
    <col min="5591" max="5591" width="1.42578125" style="21" customWidth="1"/>
    <col min="5592" max="5592" width="31.85546875" style="21" customWidth="1"/>
    <col min="5593" max="5593" width="8.28515625" style="21" customWidth="1"/>
    <col min="5594" max="5594" width="9.7109375" style="21" customWidth="1"/>
    <col min="5595" max="5595" width="8.28515625" style="21" customWidth="1"/>
    <col min="5596" max="5596" width="6.5703125" style="21" customWidth="1"/>
    <col min="5597" max="5597" width="14" style="21" customWidth="1"/>
    <col min="5598" max="5598" width="6.7109375" style="21" customWidth="1"/>
    <col min="5599" max="5599" width="8.85546875" style="21" customWidth="1"/>
    <col min="5600" max="5600" width="7.7109375" style="21" customWidth="1"/>
    <col min="5601" max="5601" width="7.28515625" style="21" customWidth="1"/>
    <col min="5602" max="5602" width="7.7109375" style="21" customWidth="1"/>
    <col min="5603" max="5603" width="8.28515625" style="21" customWidth="1"/>
    <col min="5604" max="5605" width="6.7109375" style="21" customWidth="1"/>
    <col min="5606" max="5606" width="8.85546875" style="21" customWidth="1"/>
    <col min="5607" max="5608" width="7.5703125" style="21" customWidth="1"/>
    <col min="5609" max="5609" width="7.7109375" style="21" customWidth="1"/>
    <col min="5610" max="5611" width="8.28515625" style="21" customWidth="1"/>
    <col min="5612" max="5612" width="6.28515625" style="21" customWidth="1"/>
    <col min="5613" max="5614" width="8.7109375" style="21" customWidth="1"/>
    <col min="5615" max="5615" width="9.5703125" style="21" customWidth="1"/>
    <col min="5616" max="5616" width="8.7109375" style="21" customWidth="1"/>
    <col min="5617" max="5617" width="14.5703125" style="21" customWidth="1"/>
    <col min="5618" max="5618" width="8.7109375" style="21" customWidth="1"/>
    <col min="5619" max="5619" width="10.42578125" style="21" customWidth="1"/>
    <col min="5620" max="5622" width="8.7109375" style="21" customWidth="1"/>
    <col min="5623" max="5623" width="9" style="21"/>
    <col min="5624" max="5625" width="8.7109375" style="21" customWidth="1"/>
    <col min="5626" max="5626" width="4.28515625" style="21" customWidth="1"/>
    <col min="5627" max="5627" width="7" style="21" customWidth="1"/>
    <col min="5628" max="5628" width="4.28515625" style="21" customWidth="1"/>
    <col min="5629" max="5629" width="7.7109375" style="21" customWidth="1"/>
    <col min="5630" max="5846" width="9" style="21"/>
    <col min="5847" max="5847" width="1.42578125" style="21" customWidth="1"/>
    <col min="5848" max="5848" width="31.85546875" style="21" customWidth="1"/>
    <col min="5849" max="5849" width="8.28515625" style="21" customWidth="1"/>
    <col min="5850" max="5850" width="9.7109375" style="21" customWidth="1"/>
    <col min="5851" max="5851" width="8.28515625" style="21" customWidth="1"/>
    <col min="5852" max="5852" width="6.5703125" style="21" customWidth="1"/>
    <col min="5853" max="5853" width="14" style="21" customWidth="1"/>
    <col min="5854" max="5854" width="6.7109375" style="21" customWidth="1"/>
    <col min="5855" max="5855" width="8.85546875" style="21" customWidth="1"/>
    <col min="5856" max="5856" width="7.7109375" style="21" customWidth="1"/>
    <col min="5857" max="5857" width="7.28515625" style="21" customWidth="1"/>
    <col min="5858" max="5858" width="7.7109375" style="21" customWidth="1"/>
    <col min="5859" max="5859" width="8.28515625" style="21" customWidth="1"/>
    <col min="5860" max="5861" width="6.7109375" style="21" customWidth="1"/>
    <col min="5862" max="5862" width="8.85546875" style="21" customWidth="1"/>
    <col min="5863" max="5864" width="7.5703125" style="21" customWidth="1"/>
    <col min="5865" max="5865" width="7.7109375" style="21" customWidth="1"/>
    <col min="5866" max="5867" width="8.28515625" style="21" customWidth="1"/>
    <col min="5868" max="5868" width="6.28515625" style="21" customWidth="1"/>
    <col min="5869" max="5870" width="8.7109375" style="21" customWidth="1"/>
    <col min="5871" max="5871" width="9.5703125" style="21" customWidth="1"/>
    <col min="5872" max="5872" width="8.7109375" style="21" customWidth="1"/>
    <col min="5873" max="5873" width="14.5703125" style="21" customWidth="1"/>
    <col min="5874" max="5874" width="8.7109375" style="21" customWidth="1"/>
    <col min="5875" max="5875" width="10.42578125" style="21" customWidth="1"/>
    <col min="5876" max="5878" width="8.7109375" style="21" customWidth="1"/>
    <col min="5879" max="5879" width="9" style="21"/>
    <col min="5880" max="5881" width="8.7109375" style="21" customWidth="1"/>
    <col min="5882" max="5882" width="4.28515625" style="21" customWidth="1"/>
    <col min="5883" max="5883" width="7" style="21" customWidth="1"/>
    <col min="5884" max="5884" width="4.28515625" style="21" customWidth="1"/>
    <col min="5885" max="5885" width="7.7109375" style="21" customWidth="1"/>
    <col min="5886" max="6102" width="9" style="21"/>
    <col min="6103" max="6103" width="1.42578125" style="21" customWidth="1"/>
    <col min="6104" max="6104" width="31.85546875" style="21" customWidth="1"/>
    <col min="6105" max="6105" width="8.28515625" style="21" customWidth="1"/>
    <col min="6106" max="6106" width="9.7109375" style="21" customWidth="1"/>
    <col min="6107" max="6107" width="8.28515625" style="21" customWidth="1"/>
    <col min="6108" max="6108" width="6.5703125" style="21" customWidth="1"/>
    <col min="6109" max="6109" width="14" style="21" customWidth="1"/>
    <col min="6110" max="6110" width="6.7109375" style="21" customWidth="1"/>
    <col min="6111" max="6111" width="8.85546875" style="21" customWidth="1"/>
    <col min="6112" max="6112" width="7.7109375" style="21" customWidth="1"/>
    <col min="6113" max="6113" width="7.28515625" style="21" customWidth="1"/>
    <col min="6114" max="6114" width="7.7109375" style="21" customWidth="1"/>
    <col min="6115" max="6115" width="8.28515625" style="21" customWidth="1"/>
    <col min="6116" max="6117" width="6.7109375" style="21" customWidth="1"/>
    <col min="6118" max="6118" width="8.85546875" style="21" customWidth="1"/>
    <col min="6119" max="6120" width="7.5703125" style="21" customWidth="1"/>
    <col min="6121" max="6121" width="7.7109375" style="21" customWidth="1"/>
    <col min="6122" max="6123" width="8.28515625" style="21" customWidth="1"/>
    <col min="6124" max="6124" width="6.28515625" style="21" customWidth="1"/>
    <col min="6125" max="6126" width="8.7109375" style="21" customWidth="1"/>
    <col min="6127" max="6127" width="9.5703125" style="21" customWidth="1"/>
    <col min="6128" max="6128" width="8.7109375" style="21" customWidth="1"/>
    <col min="6129" max="6129" width="14.5703125" style="21" customWidth="1"/>
    <col min="6130" max="6130" width="8.7109375" style="21" customWidth="1"/>
    <col min="6131" max="6131" width="10.42578125" style="21" customWidth="1"/>
    <col min="6132" max="6134" width="8.7109375" style="21" customWidth="1"/>
    <col min="6135" max="6135" width="9" style="21"/>
    <col min="6136" max="6137" width="8.7109375" style="21" customWidth="1"/>
    <col min="6138" max="6138" width="4.28515625" style="21" customWidth="1"/>
    <col min="6139" max="6139" width="7" style="21" customWidth="1"/>
    <col min="6140" max="6140" width="4.28515625" style="21" customWidth="1"/>
    <col min="6141" max="6141" width="7.7109375" style="21" customWidth="1"/>
    <col min="6142" max="6358" width="9" style="21"/>
    <col min="6359" max="6359" width="1.42578125" style="21" customWidth="1"/>
    <col min="6360" max="6360" width="31.85546875" style="21" customWidth="1"/>
    <col min="6361" max="6361" width="8.28515625" style="21" customWidth="1"/>
    <col min="6362" max="6362" width="9.7109375" style="21" customWidth="1"/>
    <col min="6363" max="6363" width="8.28515625" style="21" customWidth="1"/>
    <col min="6364" max="6364" width="6.5703125" style="21" customWidth="1"/>
    <col min="6365" max="6365" width="14" style="21" customWidth="1"/>
    <col min="6366" max="6366" width="6.7109375" style="21" customWidth="1"/>
    <col min="6367" max="6367" width="8.85546875" style="21" customWidth="1"/>
    <col min="6368" max="6368" width="7.7109375" style="21" customWidth="1"/>
    <col min="6369" max="6369" width="7.28515625" style="21" customWidth="1"/>
    <col min="6370" max="6370" width="7.7109375" style="21" customWidth="1"/>
    <col min="6371" max="6371" width="8.28515625" style="21" customWidth="1"/>
    <col min="6372" max="6373" width="6.7109375" style="21" customWidth="1"/>
    <col min="6374" max="6374" width="8.85546875" style="21" customWidth="1"/>
    <col min="6375" max="6376" width="7.5703125" style="21" customWidth="1"/>
    <col min="6377" max="6377" width="7.7109375" style="21" customWidth="1"/>
    <col min="6378" max="6379" width="8.28515625" style="21" customWidth="1"/>
    <col min="6380" max="6380" width="6.28515625" style="21" customWidth="1"/>
    <col min="6381" max="6382" width="8.7109375" style="21" customWidth="1"/>
    <col min="6383" max="6383" width="9.5703125" style="21" customWidth="1"/>
    <col min="6384" max="6384" width="8.7109375" style="21" customWidth="1"/>
    <col min="6385" max="6385" width="14.5703125" style="21" customWidth="1"/>
    <col min="6386" max="6386" width="8.7109375" style="21" customWidth="1"/>
    <col min="6387" max="6387" width="10.42578125" style="21" customWidth="1"/>
    <col min="6388" max="6390" width="8.7109375" style="21" customWidth="1"/>
    <col min="6391" max="6391" width="9" style="21"/>
    <col min="6392" max="6393" width="8.7109375" style="21" customWidth="1"/>
    <col min="6394" max="6394" width="4.28515625" style="21" customWidth="1"/>
    <col min="6395" max="6395" width="7" style="21" customWidth="1"/>
    <col min="6396" max="6396" width="4.28515625" style="21" customWidth="1"/>
    <col min="6397" max="6397" width="7.7109375" style="21" customWidth="1"/>
    <col min="6398" max="6614" width="9" style="21"/>
    <col min="6615" max="6615" width="1.42578125" style="21" customWidth="1"/>
    <col min="6616" max="6616" width="31.85546875" style="21" customWidth="1"/>
    <col min="6617" max="6617" width="8.28515625" style="21" customWidth="1"/>
    <col min="6618" max="6618" width="9.7109375" style="21" customWidth="1"/>
    <col min="6619" max="6619" width="8.28515625" style="21" customWidth="1"/>
    <col min="6620" max="6620" width="6.5703125" style="21" customWidth="1"/>
    <col min="6621" max="6621" width="14" style="21" customWidth="1"/>
    <col min="6622" max="6622" width="6.7109375" style="21" customWidth="1"/>
    <col min="6623" max="6623" width="8.85546875" style="21" customWidth="1"/>
    <col min="6624" max="6624" width="7.7109375" style="21" customWidth="1"/>
    <col min="6625" max="6625" width="7.28515625" style="21" customWidth="1"/>
    <col min="6626" max="6626" width="7.7109375" style="21" customWidth="1"/>
    <col min="6627" max="6627" width="8.28515625" style="21" customWidth="1"/>
    <col min="6628" max="6629" width="6.7109375" style="21" customWidth="1"/>
    <col min="6630" max="6630" width="8.85546875" style="21" customWidth="1"/>
    <col min="6631" max="6632" width="7.5703125" style="21" customWidth="1"/>
    <col min="6633" max="6633" width="7.7109375" style="21" customWidth="1"/>
    <col min="6634" max="6635" width="8.28515625" style="21" customWidth="1"/>
    <col min="6636" max="6636" width="6.28515625" style="21" customWidth="1"/>
    <col min="6637" max="6638" width="8.7109375" style="21" customWidth="1"/>
    <col min="6639" max="6639" width="9.5703125" style="21" customWidth="1"/>
    <col min="6640" max="6640" width="8.7109375" style="21" customWidth="1"/>
    <col min="6641" max="6641" width="14.5703125" style="21" customWidth="1"/>
    <col min="6642" max="6642" width="8.7109375" style="21" customWidth="1"/>
    <col min="6643" max="6643" width="10.42578125" style="21" customWidth="1"/>
    <col min="6644" max="6646" width="8.7109375" style="21" customWidth="1"/>
    <col min="6647" max="6647" width="9" style="21"/>
    <col min="6648" max="6649" width="8.7109375" style="21" customWidth="1"/>
    <col min="6650" max="6650" width="4.28515625" style="21" customWidth="1"/>
    <col min="6651" max="6651" width="7" style="21" customWidth="1"/>
    <col min="6652" max="6652" width="4.28515625" style="21" customWidth="1"/>
    <col min="6653" max="6653" width="7.7109375" style="21" customWidth="1"/>
    <col min="6654" max="6870" width="9" style="21"/>
    <col min="6871" max="6871" width="1.42578125" style="21" customWidth="1"/>
    <col min="6872" max="6872" width="31.85546875" style="21" customWidth="1"/>
    <col min="6873" max="6873" width="8.28515625" style="21" customWidth="1"/>
    <col min="6874" max="6874" width="9.7109375" style="21" customWidth="1"/>
    <col min="6875" max="6875" width="8.28515625" style="21" customWidth="1"/>
    <col min="6876" max="6876" width="6.5703125" style="21" customWidth="1"/>
    <col min="6877" max="6877" width="14" style="21" customWidth="1"/>
    <col min="6878" max="6878" width="6.7109375" style="21" customWidth="1"/>
    <col min="6879" max="6879" width="8.85546875" style="21" customWidth="1"/>
    <col min="6880" max="6880" width="7.7109375" style="21" customWidth="1"/>
    <col min="6881" max="6881" width="7.28515625" style="21" customWidth="1"/>
    <col min="6882" max="6882" width="7.7109375" style="21" customWidth="1"/>
    <col min="6883" max="6883" width="8.28515625" style="21" customWidth="1"/>
    <col min="6884" max="6885" width="6.7109375" style="21" customWidth="1"/>
    <col min="6886" max="6886" width="8.85546875" style="21" customWidth="1"/>
    <col min="6887" max="6888" width="7.5703125" style="21" customWidth="1"/>
    <col min="6889" max="6889" width="7.7109375" style="21" customWidth="1"/>
    <col min="6890" max="6891" width="8.28515625" style="21" customWidth="1"/>
    <col min="6892" max="6892" width="6.28515625" style="21" customWidth="1"/>
    <col min="6893" max="6894" width="8.7109375" style="21" customWidth="1"/>
    <col min="6895" max="6895" width="9.5703125" style="21" customWidth="1"/>
    <col min="6896" max="6896" width="8.7109375" style="21" customWidth="1"/>
    <col min="6897" max="6897" width="14.5703125" style="21" customWidth="1"/>
    <col min="6898" max="6898" width="8.7109375" style="21" customWidth="1"/>
    <col min="6899" max="6899" width="10.42578125" style="21" customWidth="1"/>
    <col min="6900" max="6902" width="8.7109375" style="21" customWidth="1"/>
    <col min="6903" max="6903" width="9" style="21"/>
    <col min="6904" max="6905" width="8.7109375" style="21" customWidth="1"/>
    <col min="6906" max="6906" width="4.28515625" style="21" customWidth="1"/>
    <col min="6907" max="6907" width="7" style="21" customWidth="1"/>
    <col min="6908" max="6908" width="4.28515625" style="21" customWidth="1"/>
    <col min="6909" max="6909" width="7.7109375" style="21" customWidth="1"/>
    <col min="6910" max="7126" width="9" style="21"/>
    <col min="7127" max="7127" width="1.42578125" style="21" customWidth="1"/>
    <col min="7128" max="7128" width="31.85546875" style="21" customWidth="1"/>
    <col min="7129" max="7129" width="8.28515625" style="21" customWidth="1"/>
    <col min="7130" max="7130" width="9.7109375" style="21" customWidth="1"/>
    <col min="7131" max="7131" width="8.28515625" style="21" customWidth="1"/>
    <col min="7132" max="7132" width="6.5703125" style="21" customWidth="1"/>
    <col min="7133" max="7133" width="14" style="21" customWidth="1"/>
    <col min="7134" max="7134" width="6.7109375" style="21" customWidth="1"/>
    <col min="7135" max="7135" width="8.85546875" style="21" customWidth="1"/>
    <col min="7136" max="7136" width="7.7109375" style="21" customWidth="1"/>
    <col min="7137" max="7137" width="7.28515625" style="21" customWidth="1"/>
    <col min="7138" max="7138" width="7.7109375" style="21" customWidth="1"/>
    <col min="7139" max="7139" width="8.28515625" style="21" customWidth="1"/>
    <col min="7140" max="7141" width="6.7109375" style="21" customWidth="1"/>
    <col min="7142" max="7142" width="8.85546875" style="21" customWidth="1"/>
    <col min="7143" max="7144" width="7.5703125" style="21" customWidth="1"/>
    <col min="7145" max="7145" width="7.7109375" style="21" customWidth="1"/>
    <col min="7146" max="7147" width="8.28515625" style="21" customWidth="1"/>
    <col min="7148" max="7148" width="6.28515625" style="21" customWidth="1"/>
    <col min="7149" max="7150" width="8.7109375" style="21" customWidth="1"/>
    <col min="7151" max="7151" width="9.5703125" style="21" customWidth="1"/>
    <col min="7152" max="7152" width="8.7109375" style="21" customWidth="1"/>
    <col min="7153" max="7153" width="14.5703125" style="21" customWidth="1"/>
    <col min="7154" max="7154" width="8.7109375" style="21" customWidth="1"/>
    <col min="7155" max="7155" width="10.42578125" style="21" customWidth="1"/>
    <col min="7156" max="7158" width="8.7109375" style="21" customWidth="1"/>
    <col min="7159" max="7159" width="9" style="21"/>
    <col min="7160" max="7161" width="8.7109375" style="21" customWidth="1"/>
    <col min="7162" max="7162" width="4.28515625" style="21" customWidth="1"/>
    <col min="7163" max="7163" width="7" style="21" customWidth="1"/>
    <col min="7164" max="7164" width="4.28515625" style="21" customWidth="1"/>
    <col min="7165" max="7165" width="7.7109375" style="21" customWidth="1"/>
    <col min="7166" max="7382" width="9" style="21"/>
    <col min="7383" max="7383" width="1.42578125" style="21" customWidth="1"/>
    <col min="7384" max="7384" width="31.85546875" style="21" customWidth="1"/>
    <col min="7385" max="7385" width="8.28515625" style="21" customWidth="1"/>
    <col min="7386" max="7386" width="9.7109375" style="21" customWidth="1"/>
    <col min="7387" max="7387" width="8.28515625" style="21" customWidth="1"/>
    <col min="7388" max="7388" width="6.5703125" style="21" customWidth="1"/>
    <col min="7389" max="7389" width="14" style="21" customWidth="1"/>
    <col min="7390" max="7390" width="6.7109375" style="21" customWidth="1"/>
    <col min="7391" max="7391" width="8.85546875" style="21" customWidth="1"/>
    <col min="7392" max="7392" width="7.7109375" style="21" customWidth="1"/>
    <col min="7393" max="7393" width="7.28515625" style="21" customWidth="1"/>
    <col min="7394" max="7394" width="7.7109375" style="21" customWidth="1"/>
    <col min="7395" max="7395" width="8.28515625" style="21" customWidth="1"/>
    <col min="7396" max="7397" width="6.7109375" style="21" customWidth="1"/>
    <col min="7398" max="7398" width="8.85546875" style="21" customWidth="1"/>
    <col min="7399" max="7400" width="7.5703125" style="21" customWidth="1"/>
    <col min="7401" max="7401" width="7.7109375" style="21" customWidth="1"/>
    <col min="7402" max="7403" width="8.28515625" style="21" customWidth="1"/>
    <col min="7404" max="7404" width="6.28515625" style="21" customWidth="1"/>
    <col min="7405" max="7406" width="8.7109375" style="21" customWidth="1"/>
    <col min="7407" max="7407" width="9.5703125" style="21" customWidth="1"/>
    <col min="7408" max="7408" width="8.7109375" style="21" customWidth="1"/>
    <col min="7409" max="7409" width="14.5703125" style="21" customWidth="1"/>
    <col min="7410" max="7410" width="8.7109375" style="21" customWidth="1"/>
    <col min="7411" max="7411" width="10.42578125" style="21" customWidth="1"/>
    <col min="7412" max="7414" width="8.7109375" style="21" customWidth="1"/>
    <col min="7415" max="7415" width="9" style="21"/>
    <col min="7416" max="7417" width="8.7109375" style="21" customWidth="1"/>
    <col min="7418" max="7418" width="4.28515625" style="21" customWidth="1"/>
    <col min="7419" max="7419" width="7" style="21" customWidth="1"/>
    <col min="7420" max="7420" width="4.28515625" style="21" customWidth="1"/>
    <col min="7421" max="7421" width="7.7109375" style="21" customWidth="1"/>
    <col min="7422" max="7638" width="9" style="21"/>
    <col min="7639" max="7639" width="1.42578125" style="21" customWidth="1"/>
    <col min="7640" max="7640" width="31.85546875" style="21" customWidth="1"/>
    <col min="7641" max="7641" width="8.28515625" style="21" customWidth="1"/>
    <col min="7642" max="7642" width="9.7109375" style="21" customWidth="1"/>
    <col min="7643" max="7643" width="8.28515625" style="21" customWidth="1"/>
    <col min="7644" max="7644" width="6.5703125" style="21" customWidth="1"/>
    <col min="7645" max="7645" width="14" style="21" customWidth="1"/>
    <col min="7646" max="7646" width="6.7109375" style="21" customWidth="1"/>
    <col min="7647" max="7647" width="8.85546875" style="21" customWidth="1"/>
    <col min="7648" max="7648" width="7.7109375" style="21" customWidth="1"/>
    <col min="7649" max="7649" width="7.28515625" style="21" customWidth="1"/>
    <col min="7650" max="7650" width="7.7109375" style="21" customWidth="1"/>
    <col min="7651" max="7651" width="8.28515625" style="21" customWidth="1"/>
    <col min="7652" max="7653" width="6.7109375" style="21" customWidth="1"/>
    <col min="7654" max="7654" width="8.85546875" style="21" customWidth="1"/>
    <col min="7655" max="7656" width="7.5703125" style="21" customWidth="1"/>
    <col min="7657" max="7657" width="7.7109375" style="21" customWidth="1"/>
    <col min="7658" max="7659" width="8.28515625" style="21" customWidth="1"/>
    <col min="7660" max="7660" width="6.28515625" style="21" customWidth="1"/>
    <col min="7661" max="7662" width="8.7109375" style="21" customWidth="1"/>
    <col min="7663" max="7663" width="9.5703125" style="21" customWidth="1"/>
    <col min="7664" max="7664" width="8.7109375" style="21" customWidth="1"/>
    <col min="7665" max="7665" width="14.5703125" style="21" customWidth="1"/>
    <col min="7666" max="7666" width="8.7109375" style="21" customWidth="1"/>
    <col min="7667" max="7667" width="10.42578125" style="21" customWidth="1"/>
    <col min="7668" max="7670" width="8.7109375" style="21" customWidth="1"/>
    <col min="7671" max="7671" width="9" style="21"/>
    <col min="7672" max="7673" width="8.7109375" style="21" customWidth="1"/>
    <col min="7674" max="7674" width="4.28515625" style="21" customWidth="1"/>
    <col min="7675" max="7675" width="7" style="21" customWidth="1"/>
    <col min="7676" max="7676" width="4.28515625" style="21" customWidth="1"/>
    <col min="7677" max="7677" width="7.7109375" style="21" customWidth="1"/>
    <col min="7678" max="7894" width="9" style="21"/>
    <col min="7895" max="7895" width="1.42578125" style="21" customWidth="1"/>
    <col min="7896" max="7896" width="31.85546875" style="21" customWidth="1"/>
    <col min="7897" max="7897" width="8.28515625" style="21" customWidth="1"/>
    <col min="7898" max="7898" width="9.7109375" style="21" customWidth="1"/>
    <col min="7899" max="7899" width="8.28515625" style="21" customWidth="1"/>
    <col min="7900" max="7900" width="6.5703125" style="21" customWidth="1"/>
    <col min="7901" max="7901" width="14" style="21" customWidth="1"/>
    <col min="7902" max="7902" width="6.7109375" style="21" customWidth="1"/>
    <col min="7903" max="7903" width="8.85546875" style="21" customWidth="1"/>
    <col min="7904" max="7904" width="7.7109375" style="21" customWidth="1"/>
    <col min="7905" max="7905" width="7.28515625" style="21" customWidth="1"/>
    <col min="7906" max="7906" width="7.7109375" style="21" customWidth="1"/>
    <col min="7907" max="7907" width="8.28515625" style="21" customWidth="1"/>
    <col min="7908" max="7909" width="6.7109375" style="21" customWidth="1"/>
    <col min="7910" max="7910" width="8.85546875" style="21" customWidth="1"/>
    <col min="7911" max="7912" width="7.5703125" style="21" customWidth="1"/>
    <col min="7913" max="7913" width="7.7109375" style="21" customWidth="1"/>
    <col min="7914" max="7915" width="8.28515625" style="21" customWidth="1"/>
    <col min="7916" max="7916" width="6.28515625" style="21" customWidth="1"/>
    <col min="7917" max="7918" width="8.7109375" style="21" customWidth="1"/>
    <col min="7919" max="7919" width="9.5703125" style="21" customWidth="1"/>
    <col min="7920" max="7920" width="8.7109375" style="21" customWidth="1"/>
    <col min="7921" max="7921" width="14.5703125" style="21" customWidth="1"/>
    <col min="7922" max="7922" width="8.7109375" style="21" customWidth="1"/>
    <col min="7923" max="7923" width="10.42578125" style="21" customWidth="1"/>
    <col min="7924" max="7926" width="8.7109375" style="21" customWidth="1"/>
    <col min="7927" max="7927" width="9" style="21"/>
    <col min="7928" max="7929" width="8.7109375" style="21" customWidth="1"/>
    <col min="7930" max="7930" width="4.28515625" style="21" customWidth="1"/>
    <col min="7931" max="7931" width="7" style="21" customWidth="1"/>
    <col min="7932" max="7932" width="4.28515625" style="21" customWidth="1"/>
    <col min="7933" max="7933" width="7.7109375" style="21" customWidth="1"/>
    <col min="7934" max="8150" width="9" style="21"/>
    <col min="8151" max="8151" width="1.42578125" style="21" customWidth="1"/>
    <col min="8152" max="8152" width="31.85546875" style="21" customWidth="1"/>
    <col min="8153" max="8153" width="8.28515625" style="21" customWidth="1"/>
    <col min="8154" max="8154" width="9.7109375" style="21" customWidth="1"/>
    <col min="8155" max="8155" width="8.28515625" style="21" customWidth="1"/>
    <col min="8156" max="8156" width="6.5703125" style="21" customWidth="1"/>
    <col min="8157" max="8157" width="14" style="21" customWidth="1"/>
    <col min="8158" max="8158" width="6.7109375" style="21" customWidth="1"/>
    <col min="8159" max="8159" width="8.85546875" style="21" customWidth="1"/>
    <col min="8160" max="8160" width="7.7109375" style="21" customWidth="1"/>
    <col min="8161" max="8161" width="7.28515625" style="21" customWidth="1"/>
    <col min="8162" max="8162" width="7.7109375" style="21" customWidth="1"/>
    <col min="8163" max="8163" width="8.28515625" style="21" customWidth="1"/>
    <col min="8164" max="8165" width="6.7109375" style="21" customWidth="1"/>
    <col min="8166" max="8166" width="8.85546875" style="21" customWidth="1"/>
    <col min="8167" max="8168" width="7.5703125" style="21" customWidth="1"/>
    <col min="8169" max="8169" width="7.7109375" style="21" customWidth="1"/>
    <col min="8170" max="8171" width="8.28515625" style="21" customWidth="1"/>
    <col min="8172" max="8172" width="6.28515625" style="21" customWidth="1"/>
    <col min="8173" max="8174" width="8.7109375" style="21" customWidth="1"/>
    <col min="8175" max="8175" width="9.5703125" style="21" customWidth="1"/>
    <col min="8176" max="8176" width="8.7109375" style="21" customWidth="1"/>
    <col min="8177" max="8177" width="14.5703125" style="21" customWidth="1"/>
    <col min="8178" max="8178" width="8.7109375" style="21" customWidth="1"/>
    <col min="8179" max="8179" width="10.42578125" style="21" customWidth="1"/>
    <col min="8180" max="8182" width="8.7109375" style="21" customWidth="1"/>
    <col min="8183" max="8183" width="9" style="21"/>
    <col min="8184" max="8185" width="8.7109375" style="21" customWidth="1"/>
    <col min="8186" max="8186" width="4.28515625" style="21" customWidth="1"/>
    <col min="8187" max="8187" width="7" style="21" customWidth="1"/>
    <col min="8188" max="8188" width="4.28515625" style="21" customWidth="1"/>
    <col min="8189" max="8189" width="7.7109375" style="21" customWidth="1"/>
    <col min="8190" max="8406" width="9" style="21"/>
    <col min="8407" max="8407" width="1.42578125" style="21" customWidth="1"/>
    <col min="8408" max="8408" width="31.85546875" style="21" customWidth="1"/>
    <col min="8409" max="8409" width="8.28515625" style="21" customWidth="1"/>
    <col min="8410" max="8410" width="9.7109375" style="21" customWidth="1"/>
    <col min="8411" max="8411" width="8.28515625" style="21" customWidth="1"/>
    <col min="8412" max="8412" width="6.5703125" style="21" customWidth="1"/>
    <col min="8413" max="8413" width="14" style="21" customWidth="1"/>
    <col min="8414" max="8414" width="6.7109375" style="21" customWidth="1"/>
    <col min="8415" max="8415" width="8.85546875" style="21" customWidth="1"/>
    <col min="8416" max="8416" width="7.7109375" style="21" customWidth="1"/>
    <col min="8417" max="8417" width="7.28515625" style="21" customWidth="1"/>
    <col min="8418" max="8418" width="7.7109375" style="21" customWidth="1"/>
    <col min="8419" max="8419" width="8.28515625" style="21" customWidth="1"/>
    <col min="8420" max="8421" width="6.7109375" style="21" customWidth="1"/>
    <col min="8422" max="8422" width="8.85546875" style="21" customWidth="1"/>
    <col min="8423" max="8424" width="7.5703125" style="21" customWidth="1"/>
    <col min="8425" max="8425" width="7.7109375" style="21" customWidth="1"/>
    <col min="8426" max="8427" width="8.28515625" style="21" customWidth="1"/>
    <col min="8428" max="8428" width="6.28515625" style="21" customWidth="1"/>
    <col min="8429" max="8430" width="8.7109375" style="21" customWidth="1"/>
    <col min="8431" max="8431" width="9.5703125" style="21" customWidth="1"/>
    <col min="8432" max="8432" width="8.7109375" style="21" customWidth="1"/>
    <col min="8433" max="8433" width="14.5703125" style="21" customWidth="1"/>
    <col min="8434" max="8434" width="8.7109375" style="21" customWidth="1"/>
    <col min="8435" max="8435" width="10.42578125" style="21" customWidth="1"/>
    <col min="8436" max="8438" width="8.7109375" style="21" customWidth="1"/>
    <col min="8439" max="8439" width="9" style="21"/>
    <col min="8440" max="8441" width="8.7109375" style="21" customWidth="1"/>
    <col min="8442" max="8442" width="4.28515625" style="21" customWidth="1"/>
    <col min="8443" max="8443" width="7" style="21" customWidth="1"/>
    <col min="8444" max="8444" width="4.28515625" style="21" customWidth="1"/>
    <col min="8445" max="8445" width="7.7109375" style="21" customWidth="1"/>
    <col min="8446" max="8662" width="9" style="21"/>
    <col min="8663" max="8663" width="1.42578125" style="21" customWidth="1"/>
    <col min="8664" max="8664" width="31.85546875" style="21" customWidth="1"/>
    <col min="8665" max="8665" width="8.28515625" style="21" customWidth="1"/>
    <col min="8666" max="8666" width="9.7109375" style="21" customWidth="1"/>
    <col min="8667" max="8667" width="8.28515625" style="21" customWidth="1"/>
    <col min="8668" max="8668" width="6.5703125" style="21" customWidth="1"/>
    <col min="8669" max="8669" width="14" style="21" customWidth="1"/>
    <col min="8670" max="8670" width="6.7109375" style="21" customWidth="1"/>
    <col min="8671" max="8671" width="8.85546875" style="21" customWidth="1"/>
    <col min="8672" max="8672" width="7.7109375" style="21" customWidth="1"/>
    <col min="8673" max="8673" width="7.28515625" style="21" customWidth="1"/>
    <col min="8674" max="8674" width="7.7109375" style="21" customWidth="1"/>
    <col min="8675" max="8675" width="8.28515625" style="21" customWidth="1"/>
    <col min="8676" max="8677" width="6.7109375" style="21" customWidth="1"/>
    <col min="8678" max="8678" width="8.85546875" style="21" customWidth="1"/>
    <col min="8679" max="8680" width="7.5703125" style="21" customWidth="1"/>
    <col min="8681" max="8681" width="7.7109375" style="21" customWidth="1"/>
    <col min="8682" max="8683" width="8.28515625" style="21" customWidth="1"/>
    <col min="8684" max="8684" width="6.28515625" style="21" customWidth="1"/>
    <col min="8685" max="8686" width="8.7109375" style="21" customWidth="1"/>
    <col min="8687" max="8687" width="9.5703125" style="21" customWidth="1"/>
    <col min="8688" max="8688" width="8.7109375" style="21" customWidth="1"/>
    <col min="8689" max="8689" width="14.5703125" style="21" customWidth="1"/>
    <col min="8690" max="8690" width="8.7109375" style="21" customWidth="1"/>
    <col min="8691" max="8691" width="10.42578125" style="21" customWidth="1"/>
    <col min="8692" max="8694" width="8.7109375" style="21" customWidth="1"/>
    <col min="8695" max="8695" width="9" style="21"/>
    <col min="8696" max="8697" width="8.7109375" style="21" customWidth="1"/>
    <col min="8698" max="8698" width="4.28515625" style="21" customWidth="1"/>
    <col min="8699" max="8699" width="7" style="21" customWidth="1"/>
    <col min="8700" max="8700" width="4.28515625" style="21" customWidth="1"/>
    <col min="8701" max="8701" width="7.7109375" style="21" customWidth="1"/>
    <col min="8702" max="8918" width="9" style="21"/>
    <col min="8919" max="8919" width="1.42578125" style="21" customWidth="1"/>
    <col min="8920" max="8920" width="31.85546875" style="21" customWidth="1"/>
    <col min="8921" max="8921" width="8.28515625" style="21" customWidth="1"/>
    <col min="8922" max="8922" width="9.7109375" style="21" customWidth="1"/>
    <col min="8923" max="8923" width="8.28515625" style="21" customWidth="1"/>
    <col min="8924" max="8924" width="6.5703125" style="21" customWidth="1"/>
    <col min="8925" max="8925" width="14" style="21" customWidth="1"/>
    <col min="8926" max="8926" width="6.7109375" style="21" customWidth="1"/>
    <col min="8927" max="8927" width="8.85546875" style="21" customWidth="1"/>
    <col min="8928" max="8928" width="7.7109375" style="21" customWidth="1"/>
    <col min="8929" max="8929" width="7.28515625" style="21" customWidth="1"/>
    <col min="8930" max="8930" width="7.7109375" style="21" customWidth="1"/>
    <col min="8931" max="8931" width="8.28515625" style="21" customWidth="1"/>
    <col min="8932" max="8933" width="6.7109375" style="21" customWidth="1"/>
    <col min="8934" max="8934" width="8.85546875" style="21" customWidth="1"/>
    <col min="8935" max="8936" width="7.5703125" style="21" customWidth="1"/>
    <col min="8937" max="8937" width="7.7109375" style="21" customWidth="1"/>
    <col min="8938" max="8939" width="8.28515625" style="21" customWidth="1"/>
    <col min="8940" max="8940" width="6.28515625" style="21" customWidth="1"/>
    <col min="8941" max="8942" width="8.7109375" style="21" customWidth="1"/>
    <col min="8943" max="8943" width="9.5703125" style="21" customWidth="1"/>
    <col min="8944" max="8944" width="8.7109375" style="21" customWidth="1"/>
    <col min="8945" max="8945" width="14.5703125" style="21" customWidth="1"/>
    <col min="8946" max="8946" width="8.7109375" style="21" customWidth="1"/>
    <col min="8947" max="8947" width="10.42578125" style="21" customWidth="1"/>
    <col min="8948" max="8950" width="8.7109375" style="21" customWidth="1"/>
    <col min="8951" max="8951" width="9" style="21"/>
    <col min="8952" max="8953" width="8.7109375" style="21" customWidth="1"/>
    <col min="8954" max="8954" width="4.28515625" style="21" customWidth="1"/>
    <col min="8955" max="8955" width="7" style="21" customWidth="1"/>
    <col min="8956" max="8956" width="4.28515625" style="21" customWidth="1"/>
    <col min="8957" max="8957" width="7.7109375" style="21" customWidth="1"/>
    <col min="8958" max="9174" width="9" style="21"/>
    <col min="9175" max="9175" width="1.42578125" style="21" customWidth="1"/>
    <col min="9176" max="9176" width="31.85546875" style="21" customWidth="1"/>
    <col min="9177" max="9177" width="8.28515625" style="21" customWidth="1"/>
    <col min="9178" max="9178" width="9.7109375" style="21" customWidth="1"/>
    <col min="9179" max="9179" width="8.28515625" style="21" customWidth="1"/>
    <col min="9180" max="9180" width="6.5703125" style="21" customWidth="1"/>
    <col min="9181" max="9181" width="14" style="21" customWidth="1"/>
    <col min="9182" max="9182" width="6.7109375" style="21" customWidth="1"/>
    <col min="9183" max="9183" width="8.85546875" style="21" customWidth="1"/>
    <col min="9184" max="9184" width="7.7109375" style="21" customWidth="1"/>
    <col min="9185" max="9185" width="7.28515625" style="21" customWidth="1"/>
    <col min="9186" max="9186" width="7.7109375" style="21" customWidth="1"/>
    <col min="9187" max="9187" width="8.28515625" style="21" customWidth="1"/>
    <col min="9188" max="9189" width="6.7109375" style="21" customWidth="1"/>
    <col min="9190" max="9190" width="8.85546875" style="21" customWidth="1"/>
    <col min="9191" max="9192" width="7.5703125" style="21" customWidth="1"/>
    <col min="9193" max="9193" width="7.7109375" style="21" customWidth="1"/>
    <col min="9194" max="9195" width="8.28515625" style="21" customWidth="1"/>
    <col min="9196" max="9196" width="6.28515625" style="21" customWidth="1"/>
    <col min="9197" max="9198" width="8.7109375" style="21" customWidth="1"/>
    <col min="9199" max="9199" width="9.5703125" style="21" customWidth="1"/>
    <col min="9200" max="9200" width="8.7109375" style="21" customWidth="1"/>
    <col min="9201" max="9201" width="14.5703125" style="21" customWidth="1"/>
    <col min="9202" max="9202" width="8.7109375" style="21" customWidth="1"/>
    <col min="9203" max="9203" width="10.42578125" style="21" customWidth="1"/>
    <col min="9204" max="9206" width="8.7109375" style="21" customWidth="1"/>
    <col min="9207" max="9207" width="9" style="21"/>
    <col min="9208" max="9209" width="8.7109375" style="21" customWidth="1"/>
    <col min="9210" max="9210" width="4.28515625" style="21" customWidth="1"/>
    <col min="9211" max="9211" width="7" style="21" customWidth="1"/>
    <col min="9212" max="9212" width="4.28515625" style="21" customWidth="1"/>
    <col min="9213" max="9213" width="7.7109375" style="21" customWidth="1"/>
    <col min="9214" max="9430" width="9" style="21"/>
    <col min="9431" max="9431" width="1.42578125" style="21" customWidth="1"/>
    <col min="9432" max="9432" width="31.85546875" style="21" customWidth="1"/>
    <col min="9433" max="9433" width="8.28515625" style="21" customWidth="1"/>
    <col min="9434" max="9434" width="9.7109375" style="21" customWidth="1"/>
    <col min="9435" max="9435" width="8.28515625" style="21" customWidth="1"/>
    <col min="9436" max="9436" width="6.5703125" style="21" customWidth="1"/>
    <col min="9437" max="9437" width="14" style="21" customWidth="1"/>
    <col min="9438" max="9438" width="6.7109375" style="21" customWidth="1"/>
    <col min="9439" max="9439" width="8.85546875" style="21" customWidth="1"/>
    <col min="9440" max="9440" width="7.7109375" style="21" customWidth="1"/>
    <col min="9441" max="9441" width="7.28515625" style="21" customWidth="1"/>
    <col min="9442" max="9442" width="7.7109375" style="21" customWidth="1"/>
    <col min="9443" max="9443" width="8.28515625" style="21" customWidth="1"/>
    <col min="9444" max="9445" width="6.7109375" style="21" customWidth="1"/>
    <col min="9446" max="9446" width="8.85546875" style="21" customWidth="1"/>
    <col min="9447" max="9448" width="7.5703125" style="21" customWidth="1"/>
    <col min="9449" max="9449" width="7.7109375" style="21" customWidth="1"/>
    <col min="9450" max="9451" width="8.28515625" style="21" customWidth="1"/>
    <col min="9452" max="9452" width="6.28515625" style="21" customWidth="1"/>
    <col min="9453" max="9454" width="8.7109375" style="21" customWidth="1"/>
    <col min="9455" max="9455" width="9.5703125" style="21" customWidth="1"/>
    <col min="9456" max="9456" width="8.7109375" style="21" customWidth="1"/>
    <col min="9457" max="9457" width="14.5703125" style="21" customWidth="1"/>
    <col min="9458" max="9458" width="8.7109375" style="21" customWidth="1"/>
    <col min="9459" max="9459" width="10.42578125" style="21" customWidth="1"/>
    <col min="9460" max="9462" width="8.7109375" style="21" customWidth="1"/>
    <col min="9463" max="9463" width="9" style="21"/>
    <col min="9464" max="9465" width="8.7109375" style="21" customWidth="1"/>
    <col min="9466" max="9466" width="4.28515625" style="21" customWidth="1"/>
    <col min="9467" max="9467" width="7" style="21" customWidth="1"/>
    <col min="9468" max="9468" width="4.28515625" style="21" customWidth="1"/>
    <col min="9469" max="9469" width="7.7109375" style="21" customWidth="1"/>
    <col min="9470" max="9686" width="9" style="21"/>
    <col min="9687" max="9687" width="1.42578125" style="21" customWidth="1"/>
    <col min="9688" max="9688" width="31.85546875" style="21" customWidth="1"/>
    <col min="9689" max="9689" width="8.28515625" style="21" customWidth="1"/>
    <col min="9690" max="9690" width="9.7109375" style="21" customWidth="1"/>
    <col min="9691" max="9691" width="8.28515625" style="21" customWidth="1"/>
    <col min="9692" max="9692" width="6.5703125" style="21" customWidth="1"/>
    <col min="9693" max="9693" width="14" style="21" customWidth="1"/>
    <col min="9694" max="9694" width="6.7109375" style="21" customWidth="1"/>
    <col min="9695" max="9695" width="8.85546875" style="21" customWidth="1"/>
    <col min="9696" max="9696" width="7.7109375" style="21" customWidth="1"/>
    <col min="9697" max="9697" width="7.28515625" style="21" customWidth="1"/>
    <col min="9698" max="9698" width="7.7109375" style="21" customWidth="1"/>
    <col min="9699" max="9699" width="8.28515625" style="21" customWidth="1"/>
    <col min="9700" max="9701" width="6.7109375" style="21" customWidth="1"/>
    <col min="9702" max="9702" width="8.85546875" style="21" customWidth="1"/>
    <col min="9703" max="9704" width="7.5703125" style="21" customWidth="1"/>
    <col min="9705" max="9705" width="7.7109375" style="21" customWidth="1"/>
    <col min="9706" max="9707" width="8.28515625" style="21" customWidth="1"/>
    <col min="9708" max="9708" width="6.28515625" style="21" customWidth="1"/>
    <col min="9709" max="9710" width="8.7109375" style="21" customWidth="1"/>
    <col min="9711" max="9711" width="9.5703125" style="21" customWidth="1"/>
    <col min="9712" max="9712" width="8.7109375" style="21" customWidth="1"/>
    <col min="9713" max="9713" width="14.5703125" style="21" customWidth="1"/>
    <col min="9714" max="9714" width="8.7109375" style="21" customWidth="1"/>
    <col min="9715" max="9715" width="10.42578125" style="21" customWidth="1"/>
    <col min="9716" max="9718" width="8.7109375" style="21" customWidth="1"/>
    <col min="9719" max="9719" width="9" style="21"/>
    <col min="9720" max="9721" width="8.7109375" style="21" customWidth="1"/>
    <col min="9722" max="9722" width="4.28515625" style="21" customWidth="1"/>
    <col min="9723" max="9723" width="7" style="21" customWidth="1"/>
    <col min="9724" max="9724" width="4.28515625" style="21" customWidth="1"/>
    <col min="9725" max="9725" width="7.7109375" style="21" customWidth="1"/>
    <col min="9726" max="9942" width="9" style="21"/>
    <col min="9943" max="9943" width="1.42578125" style="21" customWidth="1"/>
    <col min="9944" max="9944" width="31.85546875" style="21" customWidth="1"/>
    <col min="9945" max="9945" width="8.28515625" style="21" customWidth="1"/>
    <col min="9946" max="9946" width="9.7109375" style="21" customWidth="1"/>
    <col min="9947" max="9947" width="8.28515625" style="21" customWidth="1"/>
    <col min="9948" max="9948" width="6.5703125" style="21" customWidth="1"/>
    <col min="9949" max="9949" width="14" style="21" customWidth="1"/>
    <col min="9950" max="9950" width="6.7109375" style="21" customWidth="1"/>
    <col min="9951" max="9951" width="8.85546875" style="21" customWidth="1"/>
    <col min="9952" max="9952" width="7.7109375" style="21" customWidth="1"/>
    <col min="9953" max="9953" width="7.28515625" style="21" customWidth="1"/>
    <col min="9954" max="9954" width="7.7109375" style="21" customWidth="1"/>
    <col min="9955" max="9955" width="8.28515625" style="21" customWidth="1"/>
    <col min="9956" max="9957" width="6.7109375" style="21" customWidth="1"/>
    <col min="9958" max="9958" width="8.85546875" style="21" customWidth="1"/>
    <col min="9959" max="9960" width="7.5703125" style="21" customWidth="1"/>
    <col min="9961" max="9961" width="7.7109375" style="21" customWidth="1"/>
    <col min="9962" max="9963" width="8.28515625" style="21" customWidth="1"/>
    <col min="9964" max="9964" width="6.28515625" style="21" customWidth="1"/>
    <col min="9965" max="9966" width="8.7109375" style="21" customWidth="1"/>
    <col min="9967" max="9967" width="9.5703125" style="21" customWidth="1"/>
    <col min="9968" max="9968" width="8.7109375" style="21" customWidth="1"/>
    <col min="9969" max="9969" width="14.5703125" style="21" customWidth="1"/>
    <col min="9970" max="9970" width="8.7109375" style="21" customWidth="1"/>
    <col min="9971" max="9971" width="10.42578125" style="21" customWidth="1"/>
    <col min="9972" max="9974" width="8.7109375" style="21" customWidth="1"/>
    <col min="9975" max="9975" width="9" style="21"/>
    <col min="9976" max="9977" width="8.7109375" style="21" customWidth="1"/>
    <col min="9978" max="9978" width="4.28515625" style="21" customWidth="1"/>
    <col min="9979" max="9979" width="7" style="21" customWidth="1"/>
    <col min="9980" max="9980" width="4.28515625" style="21" customWidth="1"/>
    <col min="9981" max="9981" width="7.7109375" style="21" customWidth="1"/>
    <col min="9982" max="10198" width="9" style="21"/>
    <col min="10199" max="10199" width="1.42578125" style="21" customWidth="1"/>
    <col min="10200" max="10200" width="31.85546875" style="21" customWidth="1"/>
    <col min="10201" max="10201" width="8.28515625" style="21" customWidth="1"/>
    <col min="10202" max="10202" width="9.7109375" style="21" customWidth="1"/>
    <col min="10203" max="10203" width="8.28515625" style="21" customWidth="1"/>
    <col min="10204" max="10204" width="6.5703125" style="21" customWidth="1"/>
    <col min="10205" max="10205" width="14" style="21" customWidth="1"/>
    <col min="10206" max="10206" width="6.7109375" style="21" customWidth="1"/>
    <col min="10207" max="10207" width="8.85546875" style="21" customWidth="1"/>
    <col min="10208" max="10208" width="7.7109375" style="21" customWidth="1"/>
    <col min="10209" max="10209" width="7.28515625" style="21" customWidth="1"/>
    <col min="10210" max="10210" width="7.7109375" style="21" customWidth="1"/>
    <col min="10211" max="10211" width="8.28515625" style="21" customWidth="1"/>
    <col min="10212" max="10213" width="6.7109375" style="21" customWidth="1"/>
    <col min="10214" max="10214" width="8.85546875" style="21" customWidth="1"/>
    <col min="10215" max="10216" width="7.5703125" style="21" customWidth="1"/>
    <col min="10217" max="10217" width="7.7109375" style="21" customWidth="1"/>
    <col min="10218" max="10219" width="8.28515625" style="21" customWidth="1"/>
    <col min="10220" max="10220" width="6.28515625" style="21" customWidth="1"/>
    <col min="10221" max="10222" width="8.7109375" style="21" customWidth="1"/>
    <col min="10223" max="10223" width="9.5703125" style="21" customWidth="1"/>
    <col min="10224" max="10224" width="8.7109375" style="21" customWidth="1"/>
    <col min="10225" max="10225" width="14.5703125" style="21" customWidth="1"/>
    <col min="10226" max="10226" width="8.7109375" style="21" customWidth="1"/>
    <col min="10227" max="10227" width="10.42578125" style="21" customWidth="1"/>
    <col min="10228" max="10230" width="8.7109375" style="21" customWidth="1"/>
    <col min="10231" max="10231" width="9" style="21"/>
    <col min="10232" max="10233" width="8.7109375" style="21" customWidth="1"/>
    <col min="10234" max="10234" width="4.28515625" style="21" customWidth="1"/>
    <col min="10235" max="10235" width="7" style="21" customWidth="1"/>
    <col min="10236" max="10236" width="4.28515625" style="21" customWidth="1"/>
    <col min="10237" max="10237" width="7.7109375" style="21" customWidth="1"/>
    <col min="10238" max="10454" width="9" style="21"/>
    <col min="10455" max="10455" width="1.42578125" style="21" customWidth="1"/>
    <col min="10456" max="10456" width="31.85546875" style="21" customWidth="1"/>
    <col min="10457" max="10457" width="8.28515625" style="21" customWidth="1"/>
    <col min="10458" max="10458" width="9.7109375" style="21" customWidth="1"/>
    <col min="10459" max="10459" width="8.28515625" style="21" customWidth="1"/>
    <col min="10460" max="10460" width="6.5703125" style="21" customWidth="1"/>
    <col min="10461" max="10461" width="14" style="21" customWidth="1"/>
    <col min="10462" max="10462" width="6.7109375" style="21" customWidth="1"/>
    <col min="10463" max="10463" width="8.85546875" style="21" customWidth="1"/>
    <col min="10464" max="10464" width="7.7109375" style="21" customWidth="1"/>
    <col min="10465" max="10465" width="7.28515625" style="21" customWidth="1"/>
    <col min="10466" max="10466" width="7.7109375" style="21" customWidth="1"/>
    <col min="10467" max="10467" width="8.28515625" style="21" customWidth="1"/>
    <col min="10468" max="10469" width="6.7109375" style="21" customWidth="1"/>
    <col min="10470" max="10470" width="8.85546875" style="21" customWidth="1"/>
    <col min="10471" max="10472" width="7.5703125" style="21" customWidth="1"/>
    <col min="10473" max="10473" width="7.7109375" style="21" customWidth="1"/>
    <col min="10474" max="10475" width="8.28515625" style="21" customWidth="1"/>
    <col min="10476" max="10476" width="6.28515625" style="21" customWidth="1"/>
    <col min="10477" max="10478" width="8.7109375" style="21" customWidth="1"/>
    <col min="10479" max="10479" width="9.5703125" style="21" customWidth="1"/>
    <col min="10480" max="10480" width="8.7109375" style="21" customWidth="1"/>
    <col min="10481" max="10481" width="14.5703125" style="21" customWidth="1"/>
    <col min="10482" max="10482" width="8.7109375" style="21" customWidth="1"/>
    <col min="10483" max="10483" width="10.42578125" style="21" customWidth="1"/>
    <col min="10484" max="10486" width="8.7109375" style="21" customWidth="1"/>
    <col min="10487" max="10487" width="9" style="21"/>
    <col min="10488" max="10489" width="8.7109375" style="21" customWidth="1"/>
    <col min="10490" max="10490" width="4.28515625" style="21" customWidth="1"/>
    <col min="10491" max="10491" width="7" style="21" customWidth="1"/>
    <col min="10492" max="10492" width="4.28515625" style="21" customWidth="1"/>
    <col min="10493" max="10493" width="7.7109375" style="21" customWidth="1"/>
    <col min="10494" max="10710" width="9" style="21"/>
    <col min="10711" max="10711" width="1.42578125" style="21" customWidth="1"/>
    <col min="10712" max="10712" width="31.85546875" style="21" customWidth="1"/>
    <col min="10713" max="10713" width="8.28515625" style="21" customWidth="1"/>
    <col min="10714" max="10714" width="9.7109375" style="21" customWidth="1"/>
    <col min="10715" max="10715" width="8.28515625" style="21" customWidth="1"/>
    <col min="10716" max="10716" width="6.5703125" style="21" customWidth="1"/>
    <col min="10717" max="10717" width="14" style="21" customWidth="1"/>
    <col min="10718" max="10718" width="6.7109375" style="21" customWidth="1"/>
    <col min="10719" max="10719" width="8.85546875" style="21" customWidth="1"/>
    <col min="10720" max="10720" width="7.7109375" style="21" customWidth="1"/>
    <col min="10721" max="10721" width="7.28515625" style="21" customWidth="1"/>
    <col min="10722" max="10722" width="7.7109375" style="21" customWidth="1"/>
    <col min="10723" max="10723" width="8.28515625" style="21" customWidth="1"/>
    <col min="10724" max="10725" width="6.7109375" style="21" customWidth="1"/>
    <col min="10726" max="10726" width="8.85546875" style="21" customWidth="1"/>
    <col min="10727" max="10728" width="7.5703125" style="21" customWidth="1"/>
    <col min="10729" max="10729" width="7.7109375" style="21" customWidth="1"/>
    <col min="10730" max="10731" width="8.28515625" style="21" customWidth="1"/>
    <col min="10732" max="10732" width="6.28515625" style="21" customWidth="1"/>
    <col min="10733" max="10734" width="8.7109375" style="21" customWidth="1"/>
    <col min="10735" max="10735" width="9.5703125" style="21" customWidth="1"/>
    <col min="10736" max="10736" width="8.7109375" style="21" customWidth="1"/>
    <col min="10737" max="10737" width="14.5703125" style="21" customWidth="1"/>
    <col min="10738" max="10738" width="8.7109375" style="21" customWidth="1"/>
    <col min="10739" max="10739" width="10.42578125" style="21" customWidth="1"/>
    <col min="10740" max="10742" width="8.7109375" style="21" customWidth="1"/>
    <col min="10743" max="10743" width="9" style="21"/>
    <col min="10744" max="10745" width="8.7109375" style="21" customWidth="1"/>
    <col min="10746" max="10746" width="4.28515625" style="21" customWidth="1"/>
    <col min="10747" max="10747" width="7" style="21" customWidth="1"/>
    <col min="10748" max="10748" width="4.28515625" style="21" customWidth="1"/>
    <col min="10749" max="10749" width="7.7109375" style="21" customWidth="1"/>
    <col min="10750" max="10966" width="9" style="21"/>
    <col min="10967" max="10967" width="1.42578125" style="21" customWidth="1"/>
    <col min="10968" max="10968" width="31.85546875" style="21" customWidth="1"/>
    <col min="10969" max="10969" width="8.28515625" style="21" customWidth="1"/>
    <col min="10970" max="10970" width="9.7109375" style="21" customWidth="1"/>
    <col min="10971" max="10971" width="8.28515625" style="21" customWidth="1"/>
    <col min="10972" max="10972" width="6.5703125" style="21" customWidth="1"/>
    <col min="10973" max="10973" width="14" style="21" customWidth="1"/>
    <col min="10974" max="10974" width="6.7109375" style="21" customWidth="1"/>
    <col min="10975" max="10975" width="8.85546875" style="21" customWidth="1"/>
    <col min="10976" max="10976" width="7.7109375" style="21" customWidth="1"/>
    <col min="10977" max="10977" width="7.28515625" style="21" customWidth="1"/>
    <col min="10978" max="10978" width="7.7109375" style="21" customWidth="1"/>
    <col min="10979" max="10979" width="8.28515625" style="21" customWidth="1"/>
    <col min="10980" max="10981" width="6.7109375" style="21" customWidth="1"/>
    <col min="10982" max="10982" width="8.85546875" style="21" customWidth="1"/>
    <col min="10983" max="10984" width="7.5703125" style="21" customWidth="1"/>
    <col min="10985" max="10985" width="7.7109375" style="21" customWidth="1"/>
    <col min="10986" max="10987" width="8.28515625" style="21" customWidth="1"/>
    <col min="10988" max="10988" width="6.28515625" style="21" customWidth="1"/>
    <col min="10989" max="10990" width="8.7109375" style="21" customWidth="1"/>
    <col min="10991" max="10991" width="9.5703125" style="21" customWidth="1"/>
    <col min="10992" max="10992" width="8.7109375" style="21" customWidth="1"/>
    <col min="10993" max="10993" width="14.5703125" style="21" customWidth="1"/>
    <col min="10994" max="10994" width="8.7109375" style="21" customWidth="1"/>
    <col min="10995" max="10995" width="10.42578125" style="21" customWidth="1"/>
    <col min="10996" max="10998" width="8.7109375" style="21" customWidth="1"/>
    <col min="10999" max="10999" width="9" style="21"/>
    <col min="11000" max="11001" width="8.7109375" style="21" customWidth="1"/>
    <col min="11002" max="11002" width="4.28515625" style="21" customWidth="1"/>
    <col min="11003" max="11003" width="7" style="21" customWidth="1"/>
    <col min="11004" max="11004" width="4.28515625" style="21" customWidth="1"/>
    <col min="11005" max="11005" width="7.7109375" style="21" customWidth="1"/>
    <col min="11006" max="11222" width="9" style="21"/>
    <col min="11223" max="11223" width="1.42578125" style="21" customWidth="1"/>
    <col min="11224" max="11224" width="31.85546875" style="21" customWidth="1"/>
    <col min="11225" max="11225" width="8.28515625" style="21" customWidth="1"/>
    <col min="11226" max="11226" width="9.7109375" style="21" customWidth="1"/>
    <col min="11227" max="11227" width="8.28515625" style="21" customWidth="1"/>
    <col min="11228" max="11228" width="6.5703125" style="21" customWidth="1"/>
    <col min="11229" max="11229" width="14" style="21" customWidth="1"/>
    <col min="11230" max="11230" width="6.7109375" style="21" customWidth="1"/>
    <col min="11231" max="11231" width="8.85546875" style="21" customWidth="1"/>
    <col min="11232" max="11232" width="7.7109375" style="21" customWidth="1"/>
    <col min="11233" max="11233" width="7.28515625" style="21" customWidth="1"/>
    <col min="11234" max="11234" width="7.7109375" style="21" customWidth="1"/>
    <col min="11235" max="11235" width="8.28515625" style="21" customWidth="1"/>
    <col min="11236" max="11237" width="6.7109375" style="21" customWidth="1"/>
    <col min="11238" max="11238" width="8.85546875" style="21" customWidth="1"/>
    <col min="11239" max="11240" width="7.5703125" style="21" customWidth="1"/>
    <col min="11241" max="11241" width="7.7109375" style="21" customWidth="1"/>
    <col min="11242" max="11243" width="8.28515625" style="21" customWidth="1"/>
    <col min="11244" max="11244" width="6.28515625" style="21" customWidth="1"/>
    <col min="11245" max="11246" width="8.7109375" style="21" customWidth="1"/>
    <col min="11247" max="11247" width="9.5703125" style="21" customWidth="1"/>
    <col min="11248" max="11248" width="8.7109375" style="21" customWidth="1"/>
    <col min="11249" max="11249" width="14.5703125" style="21" customWidth="1"/>
    <col min="11250" max="11250" width="8.7109375" style="21" customWidth="1"/>
    <col min="11251" max="11251" width="10.42578125" style="21" customWidth="1"/>
    <col min="11252" max="11254" width="8.7109375" style="21" customWidth="1"/>
    <col min="11255" max="11255" width="9" style="21"/>
    <col min="11256" max="11257" width="8.7109375" style="21" customWidth="1"/>
    <col min="11258" max="11258" width="4.28515625" style="21" customWidth="1"/>
    <col min="11259" max="11259" width="7" style="21" customWidth="1"/>
    <col min="11260" max="11260" width="4.28515625" style="21" customWidth="1"/>
    <col min="11261" max="11261" width="7.7109375" style="21" customWidth="1"/>
    <col min="11262" max="11478" width="9" style="21"/>
    <col min="11479" max="11479" width="1.42578125" style="21" customWidth="1"/>
    <col min="11480" max="11480" width="31.85546875" style="21" customWidth="1"/>
    <col min="11481" max="11481" width="8.28515625" style="21" customWidth="1"/>
    <col min="11482" max="11482" width="9.7109375" style="21" customWidth="1"/>
    <col min="11483" max="11483" width="8.28515625" style="21" customWidth="1"/>
    <col min="11484" max="11484" width="6.5703125" style="21" customWidth="1"/>
    <col min="11485" max="11485" width="14" style="21" customWidth="1"/>
    <col min="11486" max="11486" width="6.7109375" style="21" customWidth="1"/>
    <col min="11487" max="11487" width="8.85546875" style="21" customWidth="1"/>
    <col min="11488" max="11488" width="7.7109375" style="21" customWidth="1"/>
    <col min="11489" max="11489" width="7.28515625" style="21" customWidth="1"/>
    <col min="11490" max="11490" width="7.7109375" style="21" customWidth="1"/>
    <col min="11491" max="11491" width="8.28515625" style="21" customWidth="1"/>
    <col min="11492" max="11493" width="6.7109375" style="21" customWidth="1"/>
    <col min="11494" max="11494" width="8.85546875" style="21" customWidth="1"/>
    <col min="11495" max="11496" width="7.5703125" style="21" customWidth="1"/>
    <col min="11497" max="11497" width="7.7109375" style="21" customWidth="1"/>
    <col min="11498" max="11499" width="8.28515625" style="21" customWidth="1"/>
    <col min="11500" max="11500" width="6.28515625" style="21" customWidth="1"/>
    <col min="11501" max="11502" width="8.7109375" style="21" customWidth="1"/>
    <col min="11503" max="11503" width="9.5703125" style="21" customWidth="1"/>
    <col min="11504" max="11504" width="8.7109375" style="21" customWidth="1"/>
    <col min="11505" max="11505" width="14.5703125" style="21" customWidth="1"/>
    <col min="11506" max="11506" width="8.7109375" style="21" customWidth="1"/>
    <col min="11507" max="11507" width="10.42578125" style="21" customWidth="1"/>
    <col min="11508" max="11510" width="8.7109375" style="21" customWidth="1"/>
    <col min="11511" max="11511" width="9" style="21"/>
    <col min="11512" max="11513" width="8.7109375" style="21" customWidth="1"/>
    <col min="11514" max="11514" width="4.28515625" style="21" customWidth="1"/>
    <col min="11515" max="11515" width="7" style="21" customWidth="1"/>
    <col min="11516" max="11516" width="4.28515625" style="21" customWidth="1"/>
    <col min="11517" max="11517" width="7.7109375" style="21" customWidth="1"/>
    <col min="11518" max="11734" width="9" style="21"/>
    <col min="11735" max="11735" width="1.42578125" style="21" customWidth="1"/>
    <col min="11736" max="11736" width="31.85546875" style="21" customWidth="1"/>
    <col min="11737" max="11737" width="8.28515625" style="21" customWidth="1"/>
    <col min="11738" max="11738" width="9.7109375" style="21" customWidth="1"/>
    <col min="11739" max="11739" width="8.28515625" style="21" customWidth="1"/>
    <col min="11740" max="11740" width="6.5703125" style="21" customWidth="1"/>
    <col min="11741" max="11741" width="14" style="21" customWidth="1"/>
    <col min="11742" max="11742" width="6.7109375" style="21" customWidth="1"/>
    <col min="11743" max="11743" width="8.85546875" style="21" customWidth="1"/>
    <col min="11744" max="11744" width="7.7109375" style="21" customWidth="1"/>
    <col min="11745" max="11745" width="7.28515625" style="21" customWidth="1"/>
    <col min="11746" max="11746" width="7.7109375" style="21" customWidth="1"/>
    <col min="11747" max="11747" width="8.28515625" style="21" customWidth="1"/>
    <col min="11748" max="11749" width="6.7109375" style="21" customWidth="1"/>
    <col min="11750" max="11750" width="8.85546875" style="21" customWidth="1"/>
    <col min="11751" max="11752" width="7.5703125" style="21" customWidth="1"/>
    <col min="11753" max="11753" width="7.7109375" style="21" customWidth="1"/>
    <col min="11754" max="11755" width="8.28515625" style="21" customWidth="1"/>
    <col min="11756" max="11756" width="6.28515625" style="21" customWidth="1"/>
    <col min="11757" max="11758" width="8.7109375" style="21" customWidth="1"/>
    <col min="11759" max="11759" width="9.5703125" style="21" customWidth="1"/>
    <col min="11760" max="11760" width="8.7109375" style="21" customWidth="1"/>
    <col min="11761" max="11761" width="14.5703125" style="21" customWidth="1"/>
    <col min="11762" max="11762" width="8.7109375" style="21" customWidth="1"/>
    <col min="11763" max="11763" width="10.42578125" style="21" customWidth="1"/>
    <col min="11764" max="11766" width="8.7109375" style="21" customWidth="1"/>
    <col min="11767" max="11767" width="9" style="21"/>
    <col min="11768" max="11769" width="8.7109375" style="21" customWidth="1"/>
    <col min="11770" max="11770" width="4.28515625" style="21" customWidth="1"/>
    <col min="11771" max="11771" width="7" style="21" customWidth="1"/>
    <col min="11772" max="11772" width="4.28515625" style="21" customWidth="1"/>
    <col min="11773" max="11773" width="7.7109375" style="21" customWidth="1"/>
    <col min="11774" max="11990" width="9" style="21"/>
    <col min="11991" max="11991" width="1.42578125" style="21" customWidth="1"/>
    <col min="11992" max="11992" width="31.85546875" style="21" customWidth="1"/>
    <col min="11993" max="11993" width="8.28515625" style="21" customWidth="1"/>
    <col min="11994" max="11994" width="9.7109375" style="21" customWidth="1"/>
    <col min="11995" max="11995" width="8.28515625" style="21" customWidth="1"/>
    <col min="11996" max="11996" width="6.5703125" style="21" customWidth="1"/>
    <col min="11997" max="11997" width="14" style="21" customWidth="1"/>
    <col min="11998" max="11998" width="6.7109375" style="21" customWidth="1"/>
    <col min="11999" max="11999" width="8.85546875" style="21" customWidth="1"/>
    <col min="12000" max="12000" width="7.7109375" style="21" customWidth="1"/>
    <col min="12001" max="12001" width="7.28515625" style="21" customWidth="1"/>
    <col min="12002" max="12002" width="7.7109375" style="21" customWidth="1"/>
    <col min="12003" max="12003" width="8.28515625" style="21" customWidth="1"/>
    <col min="12004" max="12005" width="6.7109375" style="21" customWidth="1"/>
    <col min="12006" max="12006" width="8.85546875" style="21" customWidth="1"/>
    <col min="12007" max="12008" width="7.5703125" style="21" customWidth="1"/>
    <col min="12009" max="12009" width="7.7109375" style="21" customWidth="1"/>
    <col min="12010" max="12011" width="8.28515625" style="21" customWidth="1"/>
    <col min="12012" max="12012" width="6.28515625" style="21" customWidth="1"/>
    <col min="12013" max="12014" width="8.7109375" style="21" customWidth="1"/>
    <col min="12015" max="12015" width="9.5703125" style="21" customWidth="1"/>
    <col min="12016" max="12016" width="8.7109375" style="21" customWidth="1"/>
    <col min="12017" max="12017" width="14.5703125" style="21" customWidth="1"/>
    <col min="12018" max="12018" width="8.7109375" style="21" customWidth="1"/>
    <col min="12019" max="12019" width="10.42578125" style="21" customWidth="1"/>
    <col min="12020" max="12022" width="8.7109375" style="21" customWidth="1"/>
    <col min="12023" max="12023" width="9" style="21"/>
    <col min="12024" max="12025" width="8.7109375" style="21" customWidth="1"/>
    <col min="12026" max="12026" width="4.28515625" style="21" customWidth="1"/>
    <col min="12027" max="12027" width="7" style="21" customWidth="1"/>
    <col min="12028" max="12028" width="4.28515625" style="21" customWidth="1"/>
    <col min="12029" max="12029" width="7.7109375" style="21" customWidth="1"/>
    <col min="12030" max="12246" width="9" style="21"/>
    <col min="12247" max="12247" width="1.42578125" style="21" customWidth="1"/>
    <col min="12248" max="12248" width="31.85546875" style="21" customWidth="1"/>
    <col min="12249" max="12249" width="8.28515625" style="21" customWidth="1"/>
    <col min="12250" max="12250" width="9.7109375" style="21" customWidth="1"/>
    <col min="12251" max="12251" width="8.28515625" style="21" customWidth="1"/>
    <col min="12252" max="12252" width="6.5703125" style="21" customWidth="1"/>
    <col min="12253" max="12253" width="14" style="21" customWidth="1"/>
    <col min="12254" max="12254" width="6.7109375" style="21" customWidth="1"/>
    <col min="12255" max="12255" width="8.85546875" style="21" customWidth="1"/>
    <col min="12256" max="12256" width="7.7109375" style="21" customWidth="1"/>
    <col min="12257" max="12257" width="7.28515625" style="21" customWidth="1"/>
    <col min="12258" max="12258" width="7.7109375" style="21" customWidth="1"/>
    <col min="12259" max="12259" width="8.28515625" style="21" customWidth="1"/>
    <col min="12260" max="12261" width="6.7109375" style="21" customWidth="1"/>
    <col min="12262" max="12262" width="8.85546875" style="21" customWidth="1"/>
    <col min="12263" max="12264" width="7.5703125" style="21" customWidth="1"/>
    <col min="12265" max="12265" width="7.7109375" style="21" customWidth="1"/>
    <col min="12266" max="12267" width="8.28515625" style="21" customWidth="1"/>
    <col min="12268" max="12268" width="6.28515625" style="21" customWidth="1"/>
    <col min="12269" max="12270" width="8.7109375" style="21" customWidth="1"/>
    <col min="12271" max="12271" width="9.5703125" style="21" customWidth="1"/>
    <col min="12272" max="12272" width="8.7109375" style="21" customWidth="1"/>
    <col min="12273" max="12273" width="14.5703125" style="21" customWidth="1"/>
    <col min="12274" max="12274" width="8.7109375" style="21" customWidth="1"/>
    <col min="12275" max="12275" width="10.42578125" style="21" customWidth="1"/>
    <col min="12276" max="12278" width="8.7109375" style="21" customWidth="1"/>
    <col min="12279" max="12279" width="9" style="21"/>
    <col min="12280" max="12281" width="8.7109375" style="21" customWidth="1"/>
    <col min="12282" max="12282" width="4.28515625" style="21" customWidth="1"/>
    <col min="12283" max="12283" width="7" style="21" customWidth="1"/>
    <col min="12284" max="12284" width="4.28515625" style="21" customWidth="1"/>
    <col min="12285" max="12285" width="7.7109375" style="21" customWidth="1"/>
    <col min="12286" max="12502" width="9" style="21"/>
    <col min="12503" max="12503" width="1.42578125" style="21" customWidth="1"/>
    <col min="12504" max="12504" width="31.85546875" style="21" customWidth="1"/>
    <col min="12505" max="12505" width="8.28515625" style="21" customWidth="1"/>
    <col min="12506" max="12506" width="9.7109375" style="21" customWidth="1"/>
    <col min="12507" max="12507" width="8.28515625" style="21" customWidth="1"/>
    <col min="12508" max="12508" width="6.5703125" style="21" customWidth="1"/>
    <col min="12509" max="12509" width="14" style="21" customWidth="1"/>
    <col min="12510" max="12510" width="6.7109375" style="21" customWidth="1"/>
    <col min="12511" max="12511" width="8.85546875" style="21" customWidth="1"/>
    <col min="12512" max="12512" width="7.7109375" style="21" customWidth="1"/>
    <col min="12513" max="12513" width="7.28515625" style="21" customWidth="1"/>
    <col min="12514" max="12514" width="7.7109375" style="21" customWidth="1"/>
    <col min="12515" max="12515" width="8.28515625" style="21" customWidth="1"/>
    <col min="12516" max="12517" width="6.7109375" style="21" customWidth="1"/>
    <col min="12518" max="12518" width="8.85546875" style="21" customWidth="1"/>
    <col min="12519" max="12520" width="7.5703125" style="21" customWidth="1"/>
    <col min="12521" max="12521" width="7.7109375" style="21" customWidth="1"/>
    <col min="12522" max="12523" width="8.28515625" style="21" customWidth="1"/>
    <col min="12524" max="12524" width="6.28515625" style="21" customWidth="1"/>
    <col min="12525" max="12526" width="8.7109375" style="21" customWidth="1"/>
    <col min="12527" max="12527" width="9.5703125" style="21" customWidth="1"/>
    <col min="12528" max="12528" width="8.7109375" style="21" customWidth="1"/>
    <col min="12529" max="12529" width="14.5703125" style="21" customWidth="1"/>
    <col min="12530" max="12530" width="8.7109375" style="21" customWidth="1"/>
    <col min="12531" max="12531" width="10.42578125" style="21" customWidth="1"/>
    <col min="12532" max="12534" width="8.7109375" style="21" customWidth="1"/>
    <col min="12535" max="12535" width="9" style="21"/>
    <col min="12536" max="12537" width="8.7109375" style="21" customWidth="1"/>
    <col min="12538" max="12538" width="4.28515625" style="21" customWidth="1"/>
    <col min="12539" max="12539" width="7" style="21" customWidth="1"/>
    <col min="12540" max="12540" width="4.28515625" style="21" customWidth="1"/>
    <col min="12541" max="12541" width="7.7109375" style="21" customWidth="1"/>
    <col min="12542" max="12758" width="9" style="21"/>
    <col min="12759" max="12759" width="1.42578125" style="21" customWidth="1"/>
    <col min="12760" max="12760" width="31.85546875" style="21" customWidth="1"/>
    <col min="12761" max="12761" width="8.28515625" style="21" customWidth="1"/>
    <col min="12762" max="12762" width="9.7109375" style="21" customWidth="1"/>
    <col min="12763" max="12763" width="8.28515625" style="21" customWidth="1"/>
    <col min="12764" max="12764" width="6.5703125" style="21" customWidth="1"/>
    <col min="12765" max="12765" width="14" style="21" customWidth="1"/>
    <col min="12766" max="12766" width="6.7109375" style="21" customWidth="1"/>
    <col min="12767" max="12767" width="8.85546875" style="21" customWidth="1"/>
    <col min="12768" max="12768" width="7.7109375" style="21" customWidth="1"/>
    <col min="12769" max="12769" width="7.28515625" style="21" customWidth="1"/>
    <col min="12770" max="12770" width="7.7109375" style="21" customWidth="1"/>
    <col min="12771" max="12771" width="8.28515625" style="21" customWidth="1"/>
    <col min="12772" max="12773" width="6.7109375" style="21" customWidth="1"/>
    <col min="12774" max="12774" width="8.85546875" style="21" customWidth="1"/>
    <col min="12775" max="12776" width="7.5703125" style="21" customWidth="1"/>
    <col min="12777" max="12777" width="7.7109375" style="21" customWidth="1"/>
    <col min="12778" max="12779" width="8.28515625" style="21" customWidth="1"/>
    <col min="12780" max="12780" width="6.28515625" style="21" customWidth="1"/>
    <col min="12781" max="12782" width="8.7109375" style="21" customWidth="1"/>
    <col min="12783" max="12783" width="9.5703125" style="21" customWidth="1"/>
    <col min="12784" max="12784" width="8.7109375" style="21" customWidth="1"/>
    <col min="12785" max="12785" width="14.5703125" style="21" customWidth="1"/>
    <col min="12786" max="12786" width="8.7109375" style="21" customWidth="1"/>
    <col min="12787" max="12787" width="10.42578125" style="21" customWidth="1"/>
    <col min="12788" max="12790" width="8.7109375" style="21" customWidth="1"/>
    <col min="12791" max="12791" width="9" style="21"/>
    <col min="12792" max="12793" width="8.7109375" style="21" customWidth="1"/>
    <col min="12794" max="12794" width="4.28515625" style="21" customWidth="1"/>
    <col min="12795" max="12795" width="7" style="21" customWidth="1"/>
    <col min="12796" max="12796" width="4.28515625" style="21" customWidth="1"/>
    <col min="12797" max="12797" width="7.7109375" style="21" customWidth="1"/>
    <col min="12798" max="13014" width="9" style="21"/>
    <col min="13015" max="13015" width="1.42578125" style="21" customWidth="1"/>
    <col min="13016" max="13016" width="31.85546875" style="21" customWidth="1"/>
    <col min="13017" max="13017" width="8.28515625" style="21" customWidth="1"/>
    <col min="13018" max="13018" width="9.7109375" style="21" customWidth="1"/>
    <col min="13019" max="13019" width="8.28515625" style="21" customWidth="1"/>
    <col min="13020" max="13020" width="6.5703125" style="21" customWidth="1"/>
    <col min="13021" max="13021" width="14" style="21" customWidth="1"/>
    <col min="13022" max="13022" width="6.7109375" style="21" customWidth="1"/>
    <col min="13023" max="13023" width="8.85546875" style="21" customWidth="1"/>
    <col min="13024" max="13024" width="7.7109375" style="21" customWidth="1"/>
    <col min="13025" max="13025" width="7.28515625" style="21" customWidth="1"/>
    <col min="13026" max="13026" width="7.7109375" style="21" customWidth="1"/>
    <col min="13027" max="13027" width="8.28515625" style="21" customWidth="1"/>
    <col min="13028" max="13029" width="6.7109375" style="21" customWidth="1"/>
    <col min="13030" max="13030" width="8.85546875" style="21" customWidth="1"/>
    <col min="13031" max="13032" width="7.5703125" style="21" customWidth="1"/>
    <col min="13033" max="13033" width="7.7109375" style="21" customWidth="1"/>
    <col min="13034" max="13035" width="8.28515625" style="21" customWidth="1"/>
    <col min="13036" max="13036" width="6.28515625" style="21" customWidth="1"/>
    <col min="13037" max="13038" width="8.7109375" style="21" customWidth="1"/>
    <col min="13039" max="13039" width="9.5703125" style="21" customWidth="1"/>
    <col min="13040" max="13040" width="8.7109375" style="21" customWidth="1"/>
    <col min="13041" max="13041" width="14.5703125" style="21" customWidth="1"/>
    <col min="13042" max="13042" width="8.7109375" style="21" customWidth="1"/>
    <col min="13043" max="13043" width="10.42578125" style="21" customWidth="1"/>
    <col min="13044" max="13046" width="8.7109375" style="21" customWidth="1"/>
    <col min="13047" max="13047" width="9" style="21"/>
    <col min="13048" max="13049" width="8.7109375" style="21" customWidth="1"/>
    <col min="13050" max="13050" width="4.28515625" style="21" customWidth="1"/>
    <col min="13051" max="13051" width="7" style="21" customWidth="1"/>
    <col min="13052" max="13052" width="4.28515625" style="21" customWidth="1"/>
    <col min="13053" max="13053" width="7.7109375" style="21" customWidth="1"/>
    <col min="13054" max="13270" width="9" style="21"/>
    <col min="13271" max="13271" width="1.42578125" style="21" customWidth="1"/>
    <col min="13272" max="13272" width="31.85546875" style="21" customWidth="1"/>
    <col min="13273" max="13273" width="8.28515625" style="21" customWidth="1"/>
    <col min="13274" max="13274" width="9.7109375" style="21" customWidth="1"/>
    <col min="13275" max="13275" width="8.28515625" style="21" customWidth="1"/>
    <col min="13276" max="13276" width="6.5703125" style="21" customWidth="1"/>
    <col min="13277" max="13277" width="14" style="21" customWidth="1"/>
    <col min="13278" max="13278" width="6.7109375" style="21" customWidth="1"/>
    <col min="13279" max="13279" width="8.85546875" style="21" customWidth="1"/>
    <col min="13280" max="13280" width="7.7109375" style="21" customWidth="1"/>
    <col min="13281" max="13281" width="7.28515625" style="21" customWidth="1"/>
    <col min="13282" max="13282" width="7.7109375" style="21" customWidth="1"/>
    <col min="13283" max="13283" width="8.28515625" style="21" customWidth="1"/>
    <col min="13284" max="13285" width="6.7109375" style="21" customWidth="1"/>
    <col min="13286" max="13286" width="8.85546875" style="21" customWidth="1"/>
    <col min="13287" max="13288" width="7.5703125" style="21" customWidth="1"/>
    <col min="13289" max="13289" width="7.7109375" style="21" customWidth="1"/>
    <col min="13290" max="13291" width="8.28515625" style="21" customWidth="1"/>
    <col min="13292" max="13292" width="6.28515625" style="21" customWidth="1"/>
    <col min="13293" max="13294" width="8.7109375" style="21" customWidth="1"/>
    <col min="13295" max="13295" width="9.5703125" style="21" customWidth="1"/>
    <col min="13296" max="13296" width="8.7109375" style="21" customWidth="1"/>
    <col min="13297" max="13297" width="14.5703125" style="21" customWidth="1"/>
    <col min="13298" max="13298" width="8.7109375" style="21" customWidth="1"/>
    <col min="13299" max="13299" width="10.42578125" style="21" customWidth="1"/>
    <col min="13300" max="13302" width="8.7109375" style="21" customWidth="1"/>
    <col min="13303" max="13303" width="9" style="21"/>
    <col min="13304" max="13305" width="8.7109375" style="21" customWidth="1"/>
    <col min="13306" max="13306" width="4.28515625" style="21" customWidth="1"/>
    <col min="13307" max="13307" width="7" style="21" customWidth="1"/>
    <col min="13308" max="13308" width="4.28515625" style="21" customWidth="1"/>
    <col min="13309" max="13309" width="7.7109375" style="21" customWidth="1"/>
    <col min="13310" max="13526" width="9" style="21"/>
    <col min="13527" max="13527" width="1.42578125" style="21" customWidth="1"/>
    <col min="13528" max="13528" width="31.85546875" style="21" customWidth="1"/>
    <col min="13529" max="13529" width="8.28515625" style="21" customWidth="1"/>
    <col min="13530" max="13530" width="9.7109375" style="21" customWidth="1"/>
    <col min="13531" max="13531" width="8.28515625" style="21" customWidth="1"/>
    <col min="13532" max="13532" width="6.5703125" style="21" customWidth="1"/>
    <col min="13533" max="13533" width="14" style="21" customWidth="1"/>
    <col min="13534" max="13534" width="6.7109375" style="21" customWidth="1"/>
    <col min="13535" max="13535" width="8.85546875" style="21" customWidth="1"/>
    <col min="13536" max="13536" width="7.7109375" style="21" customWidth="1"/>
    <col min="13537" max="13537" width="7.28515625" style="21" customWidth="1"/>
    <col min="13538" max="13538" width="7.7109375" style="21" customWidth="1"/>
    <col min="13539" max="13539" width="8.28515625" style="21" customWidth="1"/>
    <col min="13540" max="13541" width="6.7109375" style="21" customWidth="1"/>
    <col min="13542" max="13542" width="8.85546875" style="21" customWidth="1"/>
    <col min="13543" max="13544" width="7.5703125" style="21" customWidth="1"/>
    <col min="13545" max="13545" width="7.7109375" style="21" customWidth="1"/>
    <col min="13546" max="13547" width="8.28515625" style="21" customWidth="1"/>
    <col min="13548" max="13548" width="6.28515625" style="21" customWidth="1"/>
    <col min="13549" max="13550" width="8.7109375" style="21" customWidth="1"/>
    <col min="13551" max="13551" width="9.5703125" style="21" customWidth="1"/>
    <col min="13552" max="13552" width="8.7109375" style="21" customWidth="1"/>
    <col min="13553" max="13553" width="14.5703125" style="21" customWidth="1"/>
    <col min="13554" max="13554" width="8.7109375" style="21" customWidth="1"/>
    <col min="13555" max="13555" width="10.42578125" style="21" customWidth="1"/>
    <col min="13556" max="13558" width="8.7109375" style="21" customWidth="1"/>
    <col min="13559" max="13559" width="9" style="21"/>
    <col min="13560" max="13561" width="8.7109375" style="21" customWidth="1"/>
    <col min="13562" max="13562" width="4.28515625" style="21" customWidth="1"/>
    <col min="13563" max="13563" width="7" style="21" customWidth="1"/>
    <col min="13564" max="13564" width="4.28515625" style="21" customWidth="1"/>
    <col min="13565" max="13565" width="7.7109375" style="21" customWidth="1"/>
    <col min="13566" max="13782" width="9" style="21"/>
    <col min="13783" max="13783" width="1.42578125" style="21" customWidth="1"/>
    <col min="13784" max="13784" width="31.85546875" style="21" customWidth="1"/>
    <col min="13785" max="13785" width="8.28515625" style="21" customWidth="1"/>
    <col min="13786" max="13786" width="9.7109375" style="21" customWidth="1"/>
    <col min="13787" max="13787" width="8.28515625" style="21" customWidth="1"/>
    <col min="13788" max="13788" width="6.5703125" style="21" customWidth="1"/>
    <col min="13789" max="13789" width="14" style="21" customWidth="1"/>
    <col min="13790" max="13790" width="6.7109375" style="21" customWidth="1"/>
    <col min="13791" max="13791" width="8.85546875" style="21" customWidth="1"/>
    <col min="13792" max="13792" width="7.7109375" style="21" customWidth="1"/>
    <col min="13793" max="13793" width="7.28515625" style="21" customWidth="1"/>
    <col min="13794" max="13794" width="7.7109375" style="21" customWidth="1"/>
    <col min="13795" max="13795" width="8.28515625" style="21" customWidth="1"/>
    <col min="13796" max="13797" width="6.7109375" style="21" customWidth="1"/>
    <col min="13798" max="13798" width="8.85546875" style="21" customWidth="1"/>
    <col min="13799" max="13800" width="7.5703125" style="21" customWidth="1"/>
    <col min="13801" max="13801" width="7.7109375" style="21" customWidth="1"/>
    <col min="13802" max="13803" width="8.28515625" style="21" customWidth="1"/>
    <col min="13804" max="13804" width="6.28515625" style="21" customWidth="1"/>
    <col min="13805" max="13806" width="8.7109375" style="21" customWidth="1"/>
    <col min="13807" max="13807" width="9.5703125" style="21" customWidth="1"/>
    <col min="13808" max="13808" width="8.7109375" style="21" customWidth="1"/>
    <col min="13809" max="13809" width="14.5703125" style="21" customWidth="1"/>
    <col min="13810" max="13810" width="8.7109375" style="21" customWidth="1"/>
    <col min="13811" max="13811" width="10.42578125" style="21" customWidth="1"/>
    <col min="13812" max="13814" width="8.7109375" style="21" customWidth="1"/>
    <col min="13815" max="13815" width="9" style="21"/>
    <col min="13816" max="13817" width="8.7109375" style="21" customWidth="1"/>
    <col min="13818" max="13818" width="4.28515625" style="21" customWidth="1"/>
    <col min="13819" max="13819" width="7" style="21" customWidth="1"/>
    <col min="13820" max="13820" width="4.28515625" style="21" customWidth="1"/>
    <col min="13821" max="13821" width="7.7109375" style="21" customWidth="1"/>
    <col min="13822" max="14038" width="9" style="21"/>
    <col min="14039" max="14039" width="1.42578125" style="21" customWidth="1"/>
    <col min="14040" max="14040" width="31.85546875" style="21" customWidth="1"/>
    <col min="14041" max="14041" width="8.28515625" style="21" customWidth="1"/>
    <col min="14042" max="14042" width="9.7109375" style="21" customWidth="1"/>
    <col min="14043" max="14043" width="8.28515625" style="21" customWidth="1"/>
    <col min="14044" max="14044" width="6.5703125" style="21" customWidth="1"/>
    <col min="14045" max="14045" width="14" style="21" customWidth="1"/>
    <col min="14046" max="14046" width="6.7109375" style="21" customWidth="1"/>
    <col min="14047" max="14047" width="8.85546875" style="21" customWidth="1"/>
    <col min="14048" max="14048" width="7.7109375" style="21" customWidth="1"/>
    <col min="14049" max="14049" width="7.28515625" style="21" customWidth="1"/>
    <col min="14050" max="14050" width="7.7109375" style="21" customWidth="1"/>
    <col min="14051" max="14051" width="8.28515625" style="21" customWidth="1"/>
    <col min="14052" max="14053" width="6.7109375" style="21" customWidth="1"/>
    <col min="14054" max="14054" width="8.85546875" style="21" customWidth="1"/>
    <col min="14055" max="14056" width="7.5703125" style="21" customWidth="1"/>
    <col min="14057" max="14057" width="7.7109375" style="21" customWidth="1"/>
    <col min="14058" max="14059" width="8.28515625" style="21" customWidth="1"/>
    <col min="14060" max="14060" width="6.28515625" style="21" customWidth="1"/>
    <col min="14061" max="14062" width="8.7109375" style="21" customWidth="1"/>
    <col min="14063" max="14063" width="9.5703125" style="21" customWidth="1"/>
    <col min="14064" max="14064" width="8.7109375" style="21" customWidth="1"/>
    <col min="14065" max="14065" width="14.5703125" style="21" customWidth="1"/>
    <col min="14066" max="14066" width="8.7109375" style="21" customWidth="1"/>
    <col min="14067" max="14067" width="10.42578125" style="21" customWidth="1"/>
    <col min="14068" max="14070" width="8.7109375" style="21" customWidth="1"/>
    <col min="14071" max="14071" width="9" style="21"/>
    <col min="14072" max="14073" width="8.7109375" style="21" customWidth="1"/>
    <col min="14074" max="14074" width="4.28515625" style="21" customWidth="1"/>
    <col min="14075" max="14075" width="7" style="21" customWidth="1"/>
    <col min="14076" max="14076" width="4.28515625" style="21" customWidth="1"/>
    <col min="14077" max="14077" width="7.7109375" style="21" customWidth="1"/>
    <col min="14078" max="14294" width="9" style="21"/>
    <col min="14295" max="14295" width="1.42578125" style="21" customWidth="1"/>
    <col min="14296" max="14296" width="31.85546875" style="21" customWidth="1"/>
    <col min="14297" max="14297" width="8.28515625" style="21" customWidth="1"/>
    <col min="14298" max="14298" width="9.7109375" style="21" customWidth="1"/>
    <col min="14299" max="14299" width="8.28515625" style="21" customWidth="1"/>
    <col min="14300" max="14300" width="6.5703125" style="21" customWidth="1"/>
    <col min="14301" max="14301" width="14" style="21" customWidth="1"/>
    <col min="14302" max="14302" width="6.7109375" style="21" customWidth="1"/>
    <col min="14303" max="14303" width="8.85546875" style="21" customWidth="1"/>
    <col min="14304" max="14304" width="7.7109375" style="21" customWidth="1"/>
    <col min="14305" max="14305" width="7.28515625" style="21" customWidth="1"/>
    <col min="14306" max="14306" width="7.7109375" style="21" customWidth="1"/>
    <col min="14307" max="14307" width="8.28515625" style="21" customWidth="1"/>
    <col min="14308" max="14309" width="6.7109375" style="21" customWidth="1"/>
    <col min="14310" max="14310" width="8.85546875" style="21" customWidth="1"/>
    <col min="14311" max="14312" width="7.5703125" style="21" customWidth="1"/>
    <col min="14313" max="14313" width="7.7109375" style="21" customWidth="1"/>
    <col min="14314" max="14315" width="8.28515625" style="21" customWidth="1"/>
    <col min="14316" max="14316" width="6.28515625" style="21" customWidth="1"/>
    <col min="14317" max="14318" width="8.7109375" style="21" customWidth="1"/>
    <col min="14319" max="14319" width="9.5703125" style="21" customWidth="1"/>
    <col min="14320" max="14320" width="8.7109375" style="21" customWidth="1"/>
    <col min="14321" max="14321" width="14.5703125" style="21" customWidth="1"/>
    <col min="14322" max="14322" width="8.7109375" style="21" customWidth="1"/>
    <col min="14323" max="14323" width="10.42578125" style="21" customWidth="1"/>
    <col min="14324" max="14326" width="8.7109375" style="21" customWidth="1"/>
    <col min="14327" max="14327" width="9" style="21"/>
    <col min="14328" max="14329" width="8.7109375" style="21" customWidth="1"/>
    <col min="14330" max="14330" width="4.28515625" style="21" customWidth="1"/>
    <col min="14331" max="14331" width="7" style="21" customWidth="1"/>
    <col min="14332" max="14332" width="4.28515625" style="21" customWidth="1"/>
    <col min="14333" max="14333" width="7.7109375" style="21" customWidth="1"/>
    <col min="14334" max="14550" width="9" style="21"/>
    <col min="14551" max="14551" width="1.42578125" style="21" customWidth="1"/>
    <col min="14552" max="14552" width="31.85546875" style="21" customWidth="1"/>
    <col min="14553" max="14553" width="8.28515625" style="21" customWidth="1"/>
    <col min="14554" max="14554" width="9.7109375" style="21" customWidth="1"/>
    <col min="14555" max="14555" width="8.28515625" style="21" customWidth="1"/>
    <col min="14556" max="14556" width="6.5703125" style="21" customWidth="1"/>
    <col min="14557" max="14557" width="14" style="21" customWidth="1"/>
    <col min="14558" max="14558" width="6.7109375" style="21" customWidth="1"/>
    <col min="14559" max="14559" width="8.85546875" style="21" customWidth="1"/>
    <col min="14560" max="14560" width="7.7109375" style="21" customWidth="1"/>
    <col min="14561" max="14561" width="7.28515625" style="21" customWidth="1"/>
    <col min="14562" max="14562" width="7.7109375" style="21" customWidth="1"/>
    <col min="14563" max="14563" width="8.28515625" style="21" customWidth="1"/>
    <col min="14564" max="14565" width="6.7109375" style="21" customWidth="1"/>
    <col min="14566" max="14566" width="8.85546875" style="21" customWidth="1"/>
    <col min="14567" max="14568" width="7.5703125" style="21" customWidth="1"/>
    <col min="14569" max="14569" width="7.7109375" style="21" customWidth="1"/>
    <col min="14570" max="14571" width="8.28515625" style="21" customWidth="1"/>
    <col min="14572" max="14572" width="6.28515625" style="21" customWidth="1"/>
    <col min="14573" max="14574" width="8.7109375" style="21" customWidth="1"/>
    <col min="14575" max="14575" width="9.5703125" style="21" customWidth="1"/>
    <col min="14576" max="14576" width="8.7109375" style="21" customWidth="1"/>
    <col min="14577" max="14577" width="14.5703125" style="21" customWidth="1"/>
    <col min="14578" max="14578" width="8.7109375" style="21" customWidth="1"/>
    <col min="14579" max="14579" width="10.42578125" style="21" customWidth="1"/>
    <col min="14580" max="14582" width="8.7109375" style="21" customWidth="1"/>
    <col min="14583" max="14583" width="9" style="21"/>
    <col min="14584" max="14585" width="8.7109375" style="21" customWidth="1"/>
    <col min="14586" max="14586" width="4.28515625" style="21" customWidth="1"/>
    <col min="14587" max="14587" width="7" style="21" customWidth="1"/>
    <col min="14588" max="14588" width="4.28515625" style="21" customWidth="1"/>
    <col min="14589" max="14589" width="7.7109375" style="21" customWidth="1"/>
    <col min="14590" max="14806" width="9" style="21"/>
    <col min="14807" max="14807" width="1.42578125" style="21" customWidth="1"/>
    <col min="14808" max="14808" width="31.85546875" style="21" customWidth="1"/>
    <col min="14809" max="14809" width="8.28515625" style="21" customWidth="1"/>
    <col min="14810" max="14810" width="9.7109375" style="21" customWidth="1"/>
    <col min="14811" max="14811" width="8.28515625" style="21" customWidth="1"/>
    <col min="14812" max="14812" width="6.5703125" style="21" customWidth="1"/>
    <col min="14813" max="14813" width="14" style="21" customWidth="1"/>
    <col min="14814" max="14814" width="6.7109375" style="21" customWidth="1"/>
    <col min="14815" max="14815" width="8.85546875" style="21" customWidth="1"/>
    <col min="14816" max="14816" width="7.7109375" style="21" customWidth="1"/>
    <col min="14817" max="14817" width="7.28515625" style="21" customWidth="1"/>
    <col min="14818" max="14818" width="7.7109375" style="21" customWidth="1"/>
    <col min="14819" max="14819" width="8.28515625" style="21" customWidth="1"/>
    <col min="14820" max="14821" width="6.7109375" style="21" customWidth="1"/>
    <col min="14822" max="14822" width="8.85546875" style="21" customWidth="1"/>
    <col min="14823" max="14824" width="7.5703125" style="21" customWidth="1"/>
    <col min="14825" max="14825" width="7.7109375" style="21" customWidth="1"/>
    <col min="14826" max="14827" width="8.28515625" style="21" customWidth="1"/>
    <col min="14828" max="14828" width="6.28515625" style="21" customWidth="1"/>
    <col min="14829" max="14830" width="8.7109375" style="21" customWidth="1"/>
    <col min="14831" max="14831" width="9.5703125" style="21" customWidth="1"/>
    <col min="14832" max="14832" width="8.7109375" style="21" customWidth="1"/>
    <col min="14833" max="14833" width="14.5703125" style="21" customWidth="1"/>
    <col min="14834" max="14834" width="8.7109375" style="21" customWidth="1"/>
    <col min="14835" max="14835" width="10.42578125" style="21" customWidth="1"/>
    <col min="14836" max="14838" width="8.7109375" style="21" customWidth="1"/>
    <col min="14839" max="14839" width="9" style="21"/>
    <col min="14840" max="14841" width="8.7109375" style="21" customWidth="1"/>
    <col min="14842" max="14842" width="4.28515625" style="21" customWidth="1"/>
    <col min="14843" max="14843" width="7" style="21" customWidth="1"/>
    <col min="14844" max="14844" width="4.28515625" style="21" customWidth="1"/>
    <col min="14845" max="14845" width="7.7109375" style="21" customWidth="1"/>
    <col min="14846" max="15062" width="9" style="21"/>
    <col min="15063" max="15063" width="1.42578125" style="21" customWidth="1"/>
    <col min="15064" max="15064" width="31.85546875" style="21" customWidth="1"/>
    <col min="15065" max="15065" width="8.28515625" style="21" customWidth="1"/>
    <col min="15066" max="15066" width="9.7109375" style="21" customWidth="1"/>
    <col min="15067" max="15067" width="8.28515625" style="21" customWidth="1"/>
    <col min="15068" max="15068" width="6.5703125" style="21" customWidth="1"/>
    <col min="15069" max="15069" width="14" style="21" customWidth="1"/>
    <col min="15070" max="15070" width="6.7109375" style="21" customWidth="1"/>
    <col min="15071" max="15071" width="8.85546875" style="21" customWidth="1"/>
    <col min="15072" max="15072" width="7.7109375" style="21" customWidth="1"/>
    <col min="15073" max="15073" width="7.28515625" style="21" customWidth="1"/>
    <col min="15074" max="15074" width="7.7109375" style="21" customWidth="1"/>
    <col min="15075" max="15075" width="8.28515625" style="21" customWidth="1"/>
    <col min="15076" max="15077" width="6.7109375" style="21" customWidth="1"/>
    <col min="15078" max="15078" width="8.85546875" style="21" customWidth="1"/>
    <col min="15079" max="15080" width="7.5703125" style="21" customWidth="1"/>
    <col min="15081" max="15081" width="7.7109375" style="21" customWidth="1"/>
    <col min="15082" max="15083" width="8.28515625" style="21" customWidth="1"/>
    <col min="15084" max="15084" width="6.28515625" style="21" customWidth="1"/>
    <col min="15085" max="15086" width="8.7109375" style="21" customWidth="1"/>
    <col min="15087" max="15087" width="9.5703125" style="21" customWidth="1"/>
    <col min="15088" max="15088" width="8.7109375" style="21" customWidth="1"/>
    <col min="15089" max="15089" width="14.5703125" style="21" customWidth="1"/>
    <col min="15090" max="15090" width="8.7109375" style="21" customWidth="1"/>
    <col min="15091" max="15091" width="10.42578125" style="21" customWidth="1"/>
    <col min="15092" max="15094" width="8.7109375" style="21" customWidth="1"/>
    <col min="15095" max="15095" width="9" style="21"/>
    <col min="15096" max="15097" width="8.7109375" style="21" customWidth="1"/>
    <col min="15098" max="15098" width="4.28515625" style="21" customWidth="1"/>
    <col min="15099" max="15099" width="7" style="21" customWidth="1"/>
    <col min="15100" max="15100" width="4.28515625" style="21" customWidth="1"/>
    <col min="15101" max="15101" width="7.7109375" style="21" customWidth="1"/>
    <col min="15102" max="15318" width="9" style="21"/>
    <col min="15319" max="15319" width="1.42578125" style="21" customWidth="1"/>
    <col min="15320" max="15320" width="31.85546875" style="21" customWidth="1"/>
    <col min="15321" max="15321" width="8.28515625" style="21" customWidth="1"/>
    <col min="15322" max="15322" width="9.7109375" style="21" customWidth="1"/>
    <col min="15323" max="15323" width="8.28515625" style="21" customWidth="1"/>
    <col min="15324" max="15324" width="6.5703125" style="21" customWidth="1"/>
    <col min="15325" max="15325" width="14" style="21" customWidth="1"/>
    <col min="15326" max="15326" width="6.7109375" style="21" customWidth="1"/>
    <col min="15327" max="15327" width="8.85546875" style="21" customWidth="1"/>
    <col min="15328" max="15328" width="7.7109375" style="21" customWidth="1"/>
    <col min="15329" max="15329" width="7.28515625" style="21" customWidth="1"/>
    <col min="15330" max="15330" width="7.7109375" style="21" customWidth="1"/>
    <col min="15331" max="15331" width="8.28515625" style="21" customWidth="1"/>
    <col min="15332" max="15333" width="6.7109375" style="21" customWidth="1"/>
    <col min="15334" max="15334" width="8.85546875" style="21" customWidth="1"/>
    <col min="15335" max="15336" width="7.5703125" style="21" customWidth="1"/>
    <col min="15337" max="15337" width="7.7109375" style="21" customWidth="1"/>
    <col min="15338" max="15339" width="8.28515625" style="21" customWidth="1"/>
    <col min="15340" max="15340" width="6.28515625" style="21" customWidth="1"/>
    <col min="15341" max="15342" width="8.7109375" style="21" customWidth="1"/>
    <col min="15343" max="15343" width="9.5703125" style="21" customWidth="1"/>
    <col min="15344" max="15344" width="8.7109375" style="21" customWidth="1"/>
    <col min="15345" max="15345" width="14.5703125" style="21" customWidth="1"/>
    <col min="15346" max="15346" width="8.7109375" style="21" customWidth="1"/>
    <col min="15347" max="15347" width="10.42578125" style="21" customWidth="1"/>
    <col min="15348" max="15350" width="8.7109375" style="21" customWidth="1"/>
    <col min="15351" max="15351" width="9" style="21"/>
    <col min="15352" max="15353" width="8.7109375" style="21" customWidth="1"/>
    <col min="15354" max="15354" width="4.28515625" style="21" customWidth="1"/>
    <col min="15355" max="15355" width="7" style="21" customWidth="1"/>
    <col min="15356" max="15356" width="4.28515625" style="21" customWidth="1"/>
    <col min="15357" max="15357" width="7.7109375" style="21" customWidth="1"/>
    <col min="15358" max="15574" width="9" style="21"/>
    <col min="15575" max="15575" width="1.42578125" style="21" customWidth="1"/>
    <col min="15576" max="15576" width="31.85546875" style="21" customWidth="1"/>
    <col min="15577" max="15577" width="8.28515625" style="21" customWidth="1"/>
    <col min="15578" max="15578" width="9.7109375" style="21" customWidth="1"/>
    <col min="15579" max="15579" width="8.28515625" style="21" customWidth="1"/>
    <col min="15580" max="15580" width="6.5703125" style="21" customWidth="1"/>
    <col min="15581" max="15581" width="14" style="21" customWidth="1"/>
    <col min="15582" max="15582" width="6.7109375" style="21" customWidth="1"/>
    <col min="15583" max="15583" width="8.85546875" style="21" customWidth="1"/>
    <col min="15584" max="15584" width="7.7109375" style="21" customWidth="1"/>
    <col min="15585" max="15585" width="7.28515625" style="21" customWidth="1"/>
    <col min="15586" max="15586" width="7.7109375" style="21" customWidth="1"/>
    <col min="15587" max="15587" width="8.28515625" style="21" customWidth="1"/>
    <col min="15588" max="15589" width="6.7109375" style="21" customWidth="1"/>
    <col min="15590" max="15590" width="8.85546875" style="21" customWidth="1"/>
    <col min="15591" max="15592" width="7.5703125" style="21" customWidth="1"/>
    <col min="15593" max="15593" width="7.7109375" style="21" customWidth="1"/>
    <col min="15594" max="15595" width="8.28515625" style="21" customWidth="1"/>
    <col min="15596" max="15596" width="6.28515625" style="21" customWidth="1"/>
    <col min="15597" max="15598" width="8.7109375" style="21" customWidth="1"/>
    <col min="15599" max="15599" width="9.5703125" style="21" customWidth="1"/>
    <col min="15600" max="15600" width="8.7109375" style="21" customWidth="1"/>
    <col min="15601" max="15601" width="14.5703125" style="21" customWidth="1"/>
    <col min="15602" max="15602" width="8.7109375" style="21" customWidth="1"/>
    <col min="15603" max="15603" width="10.42578125" style="21" customWidth="1"/>
    <col min="15604" max="15606" width="8.7109375" style="21" customWidth="1"/>
    <col min="15607" max="15607" width="9" style="21"/>
    <col min="15608" max="15609" width="8.7109375" style="21" customWidth="1"/>
    <col min="15610" max="15610" width="4.28515625" style="21" customWidth="1"/>
    <col min="15611" max="15611" width="7" style="21" customWidth="1"/>
    <col min="15612" max="15612" width="4.28515625" style="21" customWidth="1"/>
    <col min="15613" max="15613" width="7.7109375" style="21" customWidth="1"/>
    <col min="15614" max="15830" width="9" style="21"/>
    <col min="15831" max="15831" width="1.42578125" style="21" customWidth="1"/>
    <col min="15832" max="15832" width="31.85546875" style="21" customWidth="1"/>
    <col min="15833" max="15833" width="8.28515625" style="21" customWidth="1"/>
    <col min="15834" max="15834" width="9.7109375" style="21" customWidth="1"/>
    <col min="15835" max="15835" width="8.28515625" style="21" customWidth="1"/>
    <col min="15836" max="15836" width="6.5703125" style="21" customWidth="1"/>
    <col min="15837" max="15837" width="14" style="21" customWidth="1"/>
    <col min="15838" max="15838" width="6.7109375" style="21" customWidth="1"/>
    <col min="15839" max="15839" width="8.85546875" style="21" customWidth="1"/>
    <col min="15840" max="15840" width="7.7109375" style="21" customWidth="1"/>
    <col min="15841" max="15841" width="7.28515625" style="21" customWidth="1"/>
    <col min="15842" max="15842" width="7.7109375" style="21" customWidth="1"/>
    <col min="15843" max="15843" width="8.28515625" style="21" customWidth="1"/>
    <col min="15844" max="15845" width="6.7109375" style="21" customWidth="1"/>
    <col min="15846" max="15846" width="8.85546875" style="21" customWidth="1"/>
    <col min="15847" max="15848" width="7.5703125" style="21" customWidth="1"/>
    <col min="15849" max="15849" width="7.7109375" style="21" customWidth="1"/>
    <col min="15850" max="15851" width="8.28515625" style="21" customWidth="1"/>
    <col min="15852" max="15852" width="6.28515625" style="21" customWidth="1"/>
    <col min="15853" max="15854" width="8.7109375" style="21" customWidth="1"/>
    <col min="15855" max="15855" width="9.5703125" style="21" customWidth="1"/>
    <col min="15856" max="15856" width="8.7109375" style="21" customWidth="1"/>
    <col min="15857" max="15857" width="14.5703125" style="21" customWidth="1"/>
    <col min="15858" max="15858" width="8.7109375" style="21" customWidth="1"/>
    <col min="15859" max="15859" width="10.42578125" style="21" customWidth="1"/>
    <col min="15860" max="15862" width="8.7109375" style="21" customWidth="1"/>
    <col min="15863" max="15863" width="9" style="21"/>
    <col min="15864" max="15865" width="8.7109375" style="21" customWidth="1"/>
    <col min="15866" max="15866" width="4.28515625" style="21" customWidth="1"/>
    <col min="15867" max="15867" width="7" style="21" customWidth="1"/>
    <col min="15868" max="15868" width="4.28515625" style="21" customWidth="1"/>
    <col min="15869" max="15869" width="7.7109375" style="21" customWidth="1"/>
    <col min="15870" max="16086" width="9" style="21"/>
    <col min="16087" max="16087" width="1.42578125" style="21" customWidth="1"/>
    <col min="16088" max="16088" width="31.85546875" style="21" customWidth="1"/>
    <col min="16089" max="16089" width="8.28515625" style="21" customWidth="1"/>
    <col min="16090" max="16090" width="9.7109375" style="21" customWidth="1"/>
    <col min="16091" max="16091" width="8.28515625" style="21" customWidth="1"/>
    <col min="16092" max="16092" width="6.5703125" style="21" customWidth="1"/>
    <col min="16093" max="16093" width="14" style="21" customWidth="1"/>
    <col min="16094" max="16094" width="6.7109375" style="21" customWidth="1"/>
    <col min="16095" max="16095" width="8.85546875" style="21" customWidth="1"/>
    <col min="16096" max="16096" width="7.7109375" style="21" customWidth="1"/>
    <col min="16097" max="16097" width="7.28515625" style="21" customWidth="1"/>
    <col min="16098" max="16098" width="7.7109375" style="21" customWidth="1"/>
    <col min="16099" max="16099" width="8.28515625" style="21" customWidth="1"/>
    <col min="16100" max="16101" width="6.7109375" style="21" customWidth="1"/>
    <col min="16102" max="16102" width="8.85546875" style="21" customWidth="1"/>
    <col min="16103" max="16104" width="7.5703125" style="21" customWidth="1"/>
    <col min="16105" max="16105" width="7.7109375" style="21" customWidth="1"/>
    <col min="16106" max="16107" width="8.28515625" style="21" customWidth="1"/>
    <col min="16108" max="16108" width="6.28515625" style="21" customWidth="1"/>
    <col min="16109" max="16110" width="8.7109375" style="21" customWidth="1"/>
    <col min="16111" max="16111" width="9.5703125" style="21" customWidth="1"/>
    <col min="16112" max="16112" width="8.7109375" style="21" customWidth="1"/>
    <col min="16113" max="16113" width="14.5703125" style="21" customWidth="1"/>
    <col min="16114" max="16114" width="8.7109375" style="21" customWidth="1"/>
    <col min="16115" max="16115" width="10.42578125" style="21" customWidth="1"/>
    <col min="16116" max="16118" width="8.7109375" style="21" customWidth="1"/>
    <col min="16119" max="16119" width="9" style="21"/>
    <col min="16120" max="16121" width="8.7109375" style="21" customWidth="1"/>
    <col min="16122" max="16122" width="4.28515625" style="21" customWidth="1"/>
    <col min="16123" max="16123" width="7" style="21" customWidth="1"/>
    <col min="16124" max="16124" width="4.28515625" style="21" customWidth="1"/>
    <col min="16125" max="16125" width="7.7109375" style="21" customWidth="1"/>
    <col min="16126" max="16356" width="9" style="21"/>
    <col min="16357" max="16384" width="9.28515625" style="21" customWidth="1"/>
  </cols>
  <sheetData>
    <row r="1" spans="1:20" ht="14.1" customHeight="1" x14ac:dyDescent="0.2">
      <c r="K1" s="532" t="s">
        <v>558</v>
      </c>
      <c r="N1" s="265"/>
      <c r="Q1" s="263"/>
      <c r="R1" s="264"/>
      <c r="S1" s="264"/>
    </row>
    <row r="2" spans="1:20" ht="14.1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533" t="s">
        <v>564</v>
      </c>
      <c r="L2" s="442"/>
      <c r="M2" s="443"/>
      <c r="N2" s="418"/>
      <c r="O2" s="418"/>
      <c r="P2" s="418"/>
      <c r="Q2" s="418"/>
      <c r="R2" s="418"/>
      <c r="S2" s="418"/>
      <c r="T2" s="418"/>
    </row>
    <row r="3" spans="1:20" ht="14.1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534" t="s">
        <v>556</v>
      </c>
      <c r="L3" s="444"/>
      <c r="M3" s="445"/>
      <c r="N3" s="419"/>
      <c r="O3" s="419"/>
      <c r="P3" s="419"/>
      <c r="Q3" s="419"/>
      <c r="R3" s="419"/>
      <c r="S3" s="419"/>
      <c r="T3" s="419"/>
    </row>
    <row r="4" spans="1:20" ht="14.1" customHeight="1" x14ac:dyDescent="0.2">
      <c r="C4" s="66" t="s">
        <v>47</v>
      </c>
      <c r="D4" s="616"/>
      <c r="E4" s="616"/>
      <c r="F4" s="432" t="s">
        <v>228</v>
      </c>
      <c r="G4" s="535"/>
      <c r="H4" s="536"/>
      <c r="I4" s="622">
        <f>Produksi!N4</f>
        <v>248105</v>
      </c>
      <c r="J4" s="622"/>
      <c r="K4" s="432"/>
      <c r="L4" s="432"/>
      <c r="M4" s="624"/>
      <c r="N4" s="624"/>
      <c r="O4" s="624"/>
      <c r="P4" s="624"/>
      <c r="Q4" s="624"/>
    </row>
    <row r="5" spans="1:20" ht="14.1" customHeight="1" x14ac:dyDescent="0.2">
      <c r="A5" s="625" t="s">
        <v>48</v>
      </c>
      <c r="B5" s="625"/>
      <c r="C5" s="626"/>
      <c r="D5" s="439"/>
      <c r="E5" s="627" t="s">
        <v>365</v>
      </c>
      <c r="F5" s="627"/>
      <c r="G5" s="627"/>
      <c r="H5" s="627"/>
      <c r="I5" s="627"/>
      <c r="J5" s="627"/>
      <c r="K5" s="638" t="s">
        <v>565</v>
      </c>
      <c r="L5" s="433"/>
      <c r="M5" s="628" t="s">
        <v>46</v>
      </c>
      <c r="N5" s="628"/>
      <c r="O5" s="628"/>
      <c r="P5" s="628"/>
      <c r="Q5" s="628"/>
      <c r="R5" s="637" t="s">
        <v>366</v>
      </c>
      <c r="S5" s="623" t="s">
        <v>628</v>
      </c>
      <c r="T5" s="623" t="s">
        <v>521</v>
      </c>
    </row>
    <row r="6" spans="1:20" ht="14.1" customHeight="1" x14ac:dyDescent="0.2">
      <c r="A6" s="626"/>
      <c r="B6" s="626"/>
      <c r="C6" s="626"/>
      <c r="D6" s="629" t="s">
        <v>238</v>
      </c>
      <c r="E6" s="619" t="s">
        <v>239</v>
      </c>
      <c r="F6" s="619" t="s">
        <v>557</v>
      </c>
      <c r="G6" s="439" t="s">
        <v>241</v>
      </c>
      <c r="H6" s="619" t="s">
        <v>242</v>
      </c>
      <c r="I6" s="620" t="s">
        <v>243</v>
      </c>
      <c r="J6" s="439" t="s">
        <v>244</v>
      </c>
      <c r="K6" s="639"/>
      <c r="L6" s="434"/>
      <c r="M6" s="634" t="s">
        <v>239</v>
      </c>
      <c r="N6" s="635" t="s">
        <v>240</v>
      </c>
      <c r="O6" s="314" t="s">
        <v>241</v>
      </c>
      <c r="P6" s="636" t="s">
        <v>242</v>
      </c>
      <c r="Q6" s="632" t="s">
        <v>448</v>
      </c>
      <c r="R6" s="637"/>
      <c r="S6" s="623"/>
      <c r="T6" s="623"/>
    </row>
    <row r="7" spans="1:20" ht="14.1" customHeight="1" x14ac:dyDescent="0.2">
      <c r="A7" s="626"/>
      <c r="B7" s="626"/>
      <c r="C7" s="626"/>
      <c r="D7" s="629"/>
      <c r="E7" s="619"/>
      <c r="F7" s="619"/>
      <c r="G7" s="439" t="s">
        <v>250</v>
      </c>
      <c r="H7" s="619"/>
      <c r="I7" s="620"/>
      <c r="J7" s="439" t="s">
        <v>250</v>
      </c>
      <c r="K7" s="639"/>
      <c r="L7" s="434"/>
      <c r="M7" s="634"/>
      <c r="N7" s="635"/>
      <c r="O7" s="314" t="s">
        <v>250</v>
      </c>
      <c r="P7" s="636"/>
      <c r="Q7" s="632"/>
      <c r="R7" s="637"/>
      <c r="S7" s="623"/>
      <c r="T7" s="623"/>
    </row>
    <row r="8" spans="1:20" ht="14.1" customHeight="1" x14ac:dyDescent="0.2">
      <c r="A8" s="621" t="s">
        <v>49</v>
      </c>
      <c r="B8" s="621"/>
      <c r="C8" s="621"/>
      <c r="D8" s="629"/>
      <c r="E8" s="618" t="s">
        <v>262</v>
      </c>
      <c r="F8" s="618" t="s">
        <v>263</v>
      </c>
      <c r="G8" s="617" t="s">
        <v>367</v>
      </c>
      <c r="H8" s="618" t="s">
        <v>265</v>
      </c>
      <c r="I8" s="617" t="s">
        <v>266</v>
      </c>
      <c r="J8" s="618" t="s">
        <v>267</v>
      </c>
      <c r="K8" s="639"/>
      <c r="L8" s="434"/>
      <c r="M8" s="644" t="s">
        <v>262</v>
      </c>
      <c r="N8" s="630" t="s">
        <v>263</v>
      </c>
      <c r="O8" s="630" t="s">
        <v>367</v>
      </c>
      <c r="P8" s="633" t="s">
        <v>522</v>
      </c>
      <c r="Q8" s="633" t="s">
        <v>447</v>
      </c>
      <c r="R8" s="637"/>
      <c r="S8" s="623"/>
      <c r="T8" s="623"/>
    </row>
    <row r="9" spans="1:20" ht="14.1" customHeight="1" x14ac:dyDescent="0.2">
      <c r="A9" s="621"/>
      <c r="B9" s="621"/>
      <c r="C9" s="621"/>
      <c r="D9" s="629"/>
      <c r="E9" s="618"/>
      <c r="F9" s="618"/>
      <c r="G9" s="617"/>
      <c r="H9" s="618"/>
      <c r="I9" s="617"/>
      <c r="J9" s="618"/>
      <c r="K9" s="639"/>
      <c r="L9" s="434"/>
      <c r="M9" s="644"/>
      <c r="N9" s="630"/>
      <c r="O9" s="631"/>
      <c r="P9" s="633"/>
      <c r="Q9" s="633"/>
      <c r="R9" s="637"/>
      <c r="S9" s="623"/>
      <c r="T9" s="623"/>
    </row>
    <row r="10" spans="1:20" ht="14.1" customHeight="1" x14ac:dyDescent="0.2">
      <c r="A10" s="621"/>
      <c r="B10" s="621"/>
      <c r="C10" s="621"/>
      <c r="D10" s="629"/>
      <c r="E10" s="618"/>
      <c r="F10" s="618"/>
      <c r="G10" s="617"/>
      <c r="H10" s="618"/>
      <c r="I10" s="617"/>
      <c r="J10" s="618"/>
      <c r="K10" s="640"/>
      <c r="L10" s="435"/>
      <c r="M10" s="644"/>
      <c r="N10" s="630"/>
      <c r="O10" s="631"/>
      <c r="P10" s="633"/>
      <c r="Q10" s="633"/>
      <c r="R10" s="637" t="s">
        <v>629</v>
      </c>
      <c r="S10" s="623"/>
      <c r="T10" s="623"/>
    </row>
    <row r="11" spans="1:20" ht="14.1" customHeight="1" x14ac:dyDescent="0.2">
      <c r="A11" s="643">
        <v>-1</v>
      </c>
      <c r="B11" s="643"/>
      <c r="C11" s="643"/>
      <c r="D11" s="436"/>
      <c r="E11" s="436"/>
      <c r="F11" s="436"/>
      <c r="G11" s="436"/>
      <c r="H11" s="436"/>
      <c r="I11" s="436"/>
      <c r="J11" s="436"/>
      <c r="K11" s="436"/>
      <c r="L11" s="436"/>
      <c r="M11" s="268"/>
      <c r="N11" s="267"/>
      <c r="O11" s="267"/>
      <c r="P11" s="267"/>
      <c r="Q11" s="317"/>
    </row>
    <row r="12" spans="1:20" ht="14.1" customHeight="1" x14ac:dyDescent="0.2">
      <c r="A12" s="286" t="s">
        <v>396</v>
      </c>
      <c r="B12" s="286"/>
      <c r="C12" s="286"/>
      <c r="D12" s="439"/>
      <c r="E12" s="439"/>
      <c r="F12" s="439"/>
      <c r="G12" s="439"/>
      <c r="H12" s="439"/>
      <c r="I12" s="439"/>
      <c r="J12" s="439"/>
      <c r="K12" s="437"/>
      <c r="L12" s="439"/>
      <c r="M12" s="413"/>
      <c r="N12" s="414"/>
      <c r="O12" s="414"/>
      <c r="P12" s="414"/>
      <c r="Q12" s="415"/>
    </row>
    <row r="13" spans="1:20" ht="14.1" customHeight="1" x14ac:dyDescent="0.2">
      <c r="A13" s="641">
        <v>1</v>
      </c>
      <c r="B13" s="288" t="s">
        <v>449</v>
      </c>
      <c r="C13" s="288"/>
      <c r="D13" s="537">
        <f>Produksi!F7</f>
        <v>45791</v>
      </c>
      <c r="E13" s="537">
        <f>Produksi!$F7*M13</f>
        <v>201.4804</v>
      </c>
      <c r="F13" s="537">
        <f>Produksi!$F7*N13</f>
        <v>412.11899999999997</v>
      </c>
      <c r="G13" s="537"/>
      <c r="H13" s="537">
        <f>Produksi!$F7*P13</f>
        <v>2252.9171999999999</v>
      </c>
      <c r="I13" s="537">
        <f>Produksi!$F7*Q13</f>
        <v>256.42959999999999</v>
      </c>
      <c r="J13" s="537">
        <f>D13-E13-F13-G13-H13-I13</f>
        <v>42668.053799999994</v>
      </c>
      <c r="K13" s="438">
        <f t="shared" ref="K13:K40" si="0">E13+F13+G13+H13+I13+J13</f>
        <v>45790.999999999993</v>
      </c>
      <c r="L13" s="440"/>
      <c r="M13" s="269">
        <v>4.4000000000000003E-3</v>
      </c>
      <c r="N13" s="270">
        <v>8.9999999999999993E-3</v>
      </c>
      <c r="O13" s="270"/>
      <c r="P13" s="270">
        <v>4.9200000000000001E-2</v>
      </c>
      <c r="Q13" s="318">
        <v>5.5999999999999999E-3</v>
      </c>
    </row>
    <row r="14" spans="1:20" ht="14.1" customHeight="1" x14ac:dyDescent="0.2">
      <c r="A14" s="642"/>
      <c r="B14" s="288" t="s">
        <v>390</v>
      </c>
      <c r="C14" s="288"/>
      <c r="D14" s="537">
        <f>Produksi!F8-Stok!L7+'Impor_Pangan Masuk'!F7-'Ekspor_Pangan Keluar'!F7</f>
        <v>20943.060199717966</v>
      </c>
      <c r="E14" s="537">
        <f>Produksi!$F8*M14</f>
        <v>28.896702339520541</v>
      </c>
      <c r="F14" s="537"/>
      <c r="G14" s="537"/>
      <c r="H14" s="537">
        <f>Produksi!$F8*P14</f>
        <v>424.95150499294914</v>
      </c>
      <c r="I14" s="537">
        <f>Produksi!$F8*Q14</f>
        <v>112.18719731813857</v>
      </c>
      <c r="J14" s="537">
        <f>D14-E14-F14-G14-H14-I14</f>
        <v>20377.024795067358</v>
      </c>
      <c r="K14" s="438">
        <f t="shared" si="0"/>
        <v>20943.060199717966</v>
      </c>
      <c r="L14" s="440"/>
      <c r="M14" s="269">
        <v>1.6999999999999999E-3</v>
      </c>
      <c r="N14" s="270"/>
      <c r="O14" s="270"/>
      <c r="P14" s="270">
        <v>2.5000000000000001E-2</v>
      </c>
      <c r="Q14" s="318">
        <v>6.6E-3</v>
      </c>
    </row>
    <row r="15" spans="1:20" ht="14.1" customHeight="1" x14ac:dyDescent="0.2">
      <c r="A15" s="282">
        <v>2</v>
      </c>
      <c r="B15" s="288" t="s">
        <v>397</v>
      </c>
      <c r="C15" s="288"/>
      <c r="D15" s="537">
        <f>Produksi!F9-Stok!L8+'Impor_Pangan Masuk'!F8-'Ekspor_Pangan Keluar'!F8</f>
        <v>2422.0611374999999</v>
      </c>
      <c r="E15" s="538"/>
      <c r="F15" s="537">
        <f>R15*N15</f>
        <v>0</v>
      </c>
      <c r="G15" s="537">
        <f>O15*D15</f>
        <v>507.42180830624994</v>
      </c>
      <c r="H15" s="537">
        <f>D15*P15</f>
        <v>111.89922455249999</v>
      </c>
      <c r="I15" s="538"/>
      <c r="J15" s="537">
        <f t="shared" ref="J15:J73" si="1">D15-E15-F15-G15-H15-I15</f>
        <v>1802.7401046412499</v>
      </c>
      <c r="K15" s="438">
        <f t="shared" si="0"/>
        <v>2422.0611374999999</v>
      </c>
      <c r="L15" s="440"/>
      <c r="M15" s="271"/>
      <c r="N15" s="270">
        <v>0.02</v>
      </c>
      <c r="O15" s="270">
        <v>0.20949999999999999</v>
      </c>
      <c r="P15" s="270">
        <v>4.6199999999999998E-2</v>
      </c>
      <c r="Q15" s="318"/>
      <c r="R15" s="582">
        <f>103.46%*S15</f>
        <v>0</v>
      </c>
      <c r="S15" s="444"/>
    </row>
    <row r="16" spans="1:20" s="326" customFormat="1" ht="14.1" customHeight="1" x14ac:dyDescent="0.2">
      <c r="A16" s="282">
        <v>3</v>
      </c>
      <c r="B16" s="288" t="s">
        <v>394</v>
      </c>
      <c r="C16" s="288"/>
      <c r="D16" s="537">
        <f>Produksi!F10-Stok!L9+'Impor_Pangan Masuk'!F9-'Ekspor_Pangan Keluar'!F9</f>
        <v>0</v>
      </c>
      <c r="E16" s="538"/>
      <c r="F16" s="537">
        <f>R16*N16</f>
        <v>0</v>
      </c>
      <c r="G16" s="537">
        <f>O16*D16</f>
        <v>0</v>
      </c>
      <c r="H16" s="537">
        <f>D16*P16</f>
        <v>0</v>
      </c>
      <c r="I16" s="538"/>
      <c r="J16" s="537">
        <f>D16-E16-F16-G16-H16-I16</f>
        <v>0</v>
      </c>
      <c r="K16" s="438">
        <f t="shared" si="0"/>
        <v>0</v>
      </c>
      <c r="L16" s="440"/>
      <c r="M16" s="269"/>
      <c r="N16" s="270">
        <v>2.5000000000000001E-2</v>
      </c>
      <c r="O16" s="270"/>
      <c r="P16" s="270">
        <v>4.7E-2</v>
      </c>
      <c r="Q16" s="318"/>
      <c r="R16" s="582">
        <f>103.46%*S16</f>
        <v>0</v>
      </c>
      <c r="S16" s="323"/>
      <c r="T16" s="326">
        <v>4</v>
      </c>
    </row>
    <row r="17" spans="1:23" s="326" customFormat="1" ht="14.1" customHeight="1" x14ac:dyDescent="0.2">
      <c r="A17" s="282">
        <v>4</v>
      </c>
      <c r="B17" s="288" t="s">
        <v>369</v>
      </c>
      <c r="C17" s="288"/>
      <c r="D17" s="537">
        <f>Produksi!F11-Stok!L10+'Impor_Pangan Masuk'!F10-'Ekspor_Pangan Keluar'!F10</f>
        <v>0</v>
      </c>
      <c r="E17" s="537">
        <f>E18+E19</f>
        <v>0</v>
      </c>
      <c r="F17" s="537">
        <f>F18+F19</f>
        <v>0</v>
      </c>
      <c r="G17" s="537">
        <f>G18+G19</f>
        <v>0</v>
      </c>
      <c r="H17" s="537">
        <f>H18+H19</f>
        <v>0</v>
      </c>
      <c r="I17" s="537">
        <f>I18+I19</f>
        <v>0</v>
      </c>
      <c r="J17" s="537">
        <f t="shared" si="1"/>
        <v>0</v>
      </c>
      <c r="K17" s="438">
        <f t="shared" si="0"/>
        <v>0</v>
      </c>
      <c r="L17" s="440"/>
      <c r="M17" s="271"/>
      <c r="N17" s="270"/>
      <c r="O17" s="270"/>
      <c r="P17" s="270"/>
      <c r="Q17" s="343"/>
      <c r="R17" s="21"/>
      <c r="S17" s="21"/>
    </row>
    <row r="18" spans="1:23" ht="14.1" customHeight="1" x14ac:dyDescent="0.2">
      <c r="A18" s="282"/>
      <c r="B18" s="288"/>
      <c r="C18" s="282" t="s">
        <v>393</v>
      </c>
      <c r="D18" s="537">
        <f>Produksi!F12-Stok!L11+'Impor_Pangan Masuk'!F11-'Ekspor_Pangan Keluar'!F11</f>
        <v>0</v>
      </c>
      <c r="E18" s="538"/>
      <c r="F18" s="538"/>
      <c r="G18" s="538"/>
      <c r="H18" s="538"/>
      <c r="I18" s="538"/>
      <c r="J18" s="537">
        <f t="shared" si="1"/>
        <v>0</v>
      </c>
      <c r="K18" s="438">
        <f t="shared" si="0"/>
        <v>0</v>
      </c>
      <c r="L18" s="440"/>
      <c r="M18" s="269"/>
      <c r="N18" s="272"/>
      <c r="O18" s="272"/>
      <c r="P18" s="272"/>
      <c r="Q18" s="318"/>
    </row>
    <row r="19" spans="1:23" ht="14.1" customHeight="1" x14ac:dyDescent="0.2">
      <c r="A19" s="282"/>
      <c r="B19" s="288"/>
      <c r="C19" s="282" t="s">
        <v>54</v>
      </c>
      <c r="D19" s="537">
        <f>(Produksi!F13-Stok!L12+'Impor_Pangan Masuk'!F12-'Ekspor_Pangan Keluar'!F12)</f>
        <v>0</v>
      </c>
      <c r="E19" s="538"/>
      <c r="F19" s="538"/>
      <c r="G19" s="537">
        <f>(D19-H19)</f>
        <v>0</v>
      </c>
      <c r="H19" s="537">
        <f>D19*P19</f>
        <v>0</v>
      </c>
      <c r="I19" s="538"/>
      <c r="J19" s="537">
        <f>D19-E19-F19-G19-H19-I19</f>
        <v>0</v>
      </c>
      <c r="K19" s="438">
        <f t="shared" si="0"/>
        <v>0</v>
      </c>
      <c r="L19" s="440"/>
      <c r="M19" s="269"/>
      <c r="N19" s="272"/>
      <c r="O19" s="272"/>
      <c r="P19" s="272">
        <v>4.4999999999999997E-3</v>
      </c>
      <c r="Q19" s="318"/>
    </row>
    <row r="20" spans="1:23" ht="14.1" customHeight="1" x14ac:dyDescent="0.2">
      <c r="A20" s="282"/>
      <c r="B20" s="288"/>
      <c r="C20" s="282"/>
      <c r="D20" s="539"/>
      <c r="E20" s="539"/>
      <c r="F20" s="539"/>
      <c r="G20" s="539"/>
      <c r="H20" s="539"/>
      <c r="I20" s="539"/>
      <c r="J20" s="539"/>
      <c r="K20" s="438">
        <f t="shared" si="0"/>
        <v>0</v>
      </c>
      <c r="L20" s="440"/>
      <c r="M20" s="409"/>
      <c r="N20" s="410"/>
      <c r="O20" s="410"/>
      <c r="P20" s="410"/>
      <c r="Q20" s="408"/>
    </row>
    <row r="21" spans="1:23" ht="14.1" customHeight="1" x14ac:dyDescent="0.2">
      <c r="A21" s="291" t="s">
        <v>55</v>
      </c>
      <c r="B21" s="291"/>
      <c r="C21" s="282"/>
      <c r="D21" s="539"/>
      <c r="E21" s="539"/>
      <c r="F21" s="539"/>
      <c r="G21" s="539"/>
      <c r="H21" s="539"/>
      <c r="I21" s="539"/>
      <c r="J21" s="539"/>
      <c r="K21" s="438">
        <f t="shared" si="0"/>
        <v>0</v>
      </c>
      <c r="L21" s="440"/>
      <c r="M21" s="409"/>
      <c r="N21" s="410"/>
      <c r="O21" s="410"/>
      <c r="P21" s="410"/>
      <c r="Q21" s="408"/>
    </row>
    <row r="22" spans="1:23" ht="14.1" customHeight="1" x14ac:dyDescent="0.2">
      <c r="A22" s="282">
        <v>5</v>
      </c>
      <c r="B22" s="288" t="s">
        <v>370</v>
      </c>
      <c r="C22" s="45"/>
      <c r="D22" s="537">
        <f>Produksi!F16-Stok!L15+'Impor_Pangan Masuk'!F15-'Ekspor_Pangan Keluar'!F15</f>
        <v>0</v>
      </c>
      <c r="E22" s="537">
        <f>D22*M22</f>
        <v>0</v>
      </c>
      <c r="F22" s="537">
        <f>R22*N22</f>
        <v>0</v>
      </c>
      <c r="G22" s="538"/>
      <c r="H22" s="537">
        <f>D22*P22</f>
        <v>0</v>
      </c>
      <c r="I22" s="538"/>
      <c r="J22" s="537">
        <f>D22-E22-F22-G22-H22-I22</f>
        <v>0</v>
      </c>
      <c r="K22" s="438">
        <f t="shared" si="0"/>
        <v>0</v>
      </c>
      <c r="L22" s="440"/>
      <c r="M22" s="269">
        <v>0.02</v>
      </c>
      <c r="N22" s="270">
        <v>0.7</v>
      </c>
      <c r="O22" s="270"/>
      <c r="P22" s="272">
        <v>4.9000000000000002E-2</v>
      </c>
      <c r="Q22" s="343"/>
      <c r="R22" s="323"/>
      <c r="S22" s="323"/>
      <c r="T22" s="21">
        <v>4</v>
      </c>
    </row>
    <row r="23" spans="1:23" s="326" customFormat="1" ht="14.1" customHeight="1" x14ac:dyDescent="0.2">
      <c r="A23" s="282">
        <v>6</v>
      </c>
      <c r="B23" s="288" t="s">
        <v>371</v>
      </c>
      <c r="C23" s="45"/>
      <c r="D23" s="537">
        <f>Produksi!F17-Stok!L16+'Impor_Pangan Masuk'!F16-'Ekspor_Pangan Keluar'!F16</f>
        <v>982.58214417734735</v>
      </c>
      <c r="E23" s="537">
        <f>E24+(E25)+(E26)</f>
        <v>19.651642883546948</v>
      </c>
      <c r="F23" s="537">
        <f>F24+(F25)+(F26)</f>
        <v>0</v>
      </c>
      <c r="G23" s="537">
        <f>G24+G25+G26</f>
        <v>0</v>
      </c>
      <c r="H23" s="537">
        <f>H24+(H25+(H26))</f>
        <v>41.563224698701788</v>
      </c>
      <c r="I23" s="537">
        <f>I24+(I25)+(I26)</f>
        <v>0</v>
      </c>
      <c r="J23" s="537">
        <f>D23-E23-F23-G23-H23-I23</f>
        <v>921.36727659509859</v>
      </c>
      <c r="K23" s="438">
        <f t="shared" si="0"/>
        <v>982.58214417734735</v>
      </c>
      <c r="L23" s="440"/>
      <c r="M23" s="269"/>
      <c r="N23" s="270"/>
      <c r="O23" s="270"/>
      <c r="P23" s="270">
        <v>4.2299999999999997E-2</v>
      </c>
      <c r="Q23" s="320"/>
      <c r="R23" s="21"/>
      <c r="S23" s="21"/>
    </row>
    <row r="24" spans="1:23" ht="14.1" customHeight="1" x14ac:dyDescent="0.2">
      <c r="A24" s="282"/>
      <c r="B24" s="288"/>
      <c r="C24" s="45" t="s">
        <v>392</v>
      </c>
      <c r="D24" s="537">
        <f>Produksi!F18-Stok!L17+'Impor_Pangan Masuk'!F17-'Ekspor_Pangan Keluar'!F17</f>
        <v>982.58214417734735</v>
      </c>
      <c r="E24" s="537">
        <f>D24*M24</f>
        <v>19.651642883546948</v>
      </c>
      <c r="F24" s="538"/>
      <c r="G24" s="538"/>
      <c r="H24" s="537">
        <f>D24*P24</f>
        <v>41.563224698701788</v>
      </c>
      <c r="I24" s="538"/>
      <c r="J24" s="537">
        <f>D24-E24-F24-G24-H24-I24</f>
        <v>921.36727659509859</v>
      </c>
      <c r="K24" s="438">
        <f t="shared" si="0"/>
        <v>982.58214417734735</v>
      </c>
      <c r="L24" s="440"/>
      <c r="M24" s="269">
        <v>0.02</v>
      </c>
      <c r="N24" s="270"/>
      <c r="O24" s="270"/>
      <c r="P24" s="270">
        <v>4.2299999999999997E-2</v>
      </c>
      <c r="Q24" s="319"/>
    </row>
    <row r="25" spans="1:23" ht="14.1" customHeight="1" x14ac:dyDescent="0.2">
      <c r="A25" s="282"/>
      <c r="B25" s="288"/>
      <c r="C25" s="282" t="s">
        <v>381</v>
      </c>
      <c r="D25" s="537">
        <f>Produksi!F19-Stok!L18+'Impor_Pangan Masuk'!F18-'Ekspor_Pangan Keluar'!F18</f>
        <v>0</v>
      </c>
      <c r="E25" s="538"/>
      <c r="F25" s="538"/>
      <c r="G25" s="537">
        <f>Produksi!F19-H25</f>
        <v>0</v>
      </c>
      <c r="H25" s="537">
        <f>D25*P25</f>
        <v>0</v>
      </c>
      <c r="I25" s="538"/>
      <c r="J25" s="537">
        <f t="shared" ref="J25:J26" si="2">D25-E25-F25-G25-H25-I25</f>
        <v>0</v>
      </c>
      <c r="K25" s="438">
        <f t="shared" si="0"/>
        <v>0</v>
      </c>
      <c r="L25" s="440"/>
      <c r="M25" s="271"/>
      <c r="N25" s="270"/>
      <c r="O25" s="270"/>
      <c r="P25" s="270">
        <v>7.1999999999999998E-3</v>
      </c>
      <c r="Q25" s="319"/>
    </row>
    <row r="26" spans="1:23" ht="14.1" customHeight="1" x14ac:dyDescent="0.2">
      <c r="A26" s="282"/>
      <c r="B26" s="288"/>
      <c r="C26" s="282" t="s">
        <v>382</v>
      </c>
      <c r="D26" s="537">
        <f>Produksi!F20-Stok!L19+'Impor_Pangan Masuk'!F19-'Ekspor_Pangan Keluar'!F19</f>
        <v>0</v>
      </c>
      <c r="E26" s="538"/>
      <c r="F26" s="538"/>
      <c r="G26" s="537">
        <f>Produksi!F20-H26</f>
        <v>0</v>
      </c>
      <c r="H26" s="537">
        <f>D26*P26</f>
        <v>0</v>
      </c>
      <c r="I26" s="538"/>
      <c r="J26" s="537">
        <f t="shared" si="2"/>
        <v>0</v>
      </c>
      <c r="K26" s="438">
        <f t="shared" si="0"/>
        <v>0</v>
      </c>
      <c r="L26" s="440"/>
      <c r="M26" s="269"/>
      <c r="N26" s="272"/>
      <c r="O26" s="272"/>
      <c r="P26" s="270">
        <v>7.1000000000000004E-3</v>
      </c>
      <c r="Q26" s="318"/>
    </row>
    <row r="27" spans="1:23" s="326" customFormat="1" ht="14.1" customHeight="1" x14ac:dyDescent="0.2">
      <c r="A27" s="282">
        <v>7</v>
      </c>
      <c r="B27" s="288" t="s">
        <v>372</v>
      </c>
      <c r="C27" s="282"/>
      <c r="D27" s="537">
        <f>D28+D29</f>
        <v>0</v>
      </c>
      <c r="E27" s="537">
        <f t="shared" ref="E27:I27" si="3">E28+E29</f>
        <v>0</v>
      </c>
      <c r="F27" s="537">
        <f t="shared" si="3"/>
        <v>0</v>
      </c>
      <c r="G27" s="537">
        <f t="shared" si="3"/>
        <v>0</v>
      </c>
      <c r="H27" s="537">
        <f t="shared" si="3"/>
        <v>0</v>
      </c>
      <c r="I27" s="537">
        <f t="shared" si="3"/>
        <v>0</v>
      </c>
      <c r="J27" s="537">
        <f>D27-E27-F27-G27-H27-I27</f>
        <v>0</v>
      </c>
      <c r="K27" s="438">
        <f t="shared" si="0"/>
        <v>0</v>
      </c>
      <c r="L27" s="440"/>
      <c r="M27" s="269"/>
      <c r="N27" s="272"/>
      <c r="O27" s="272"/>
      <c r="P27" s="270"/>
      <c r="Q27" s="318"/>
      <c r="R27" s="21"/>
      <c r="S27" s="21"/>
    </row>
    <row r="28" spans="1:23" ht="14.1" customHeight="1" x14ac:dyDescent="0.2">
      <c r="A28" s="282"/>
      <c r="B28" s="288"/>
      <c r="C28" s="282" t="s">
        <v>395</v>
      </c>
      <c r="D28" s="537">
        <f>Produksi!F22-Stok!L21+'Impor_Pangan Masuk'!F21-'Ekspor_Pangan Keluar'!F21</f>
        <v>0</v>
      </c>
      <c r="E28" s="538"/>
      <c r="F28" s="538"/>
      <c r="G28" s="538"/>
      <c r="H28" s="538"/>
      <c r="I28" s="538"/>
      <c r="J28" s="537">
        <f t="shared" si="1"/>
        <v>0</v>
      </c>
      <c r="K28" s="438">
        <f t="shared" si="0"/>
        <v>0</v>
      </c>
      <c r="L28" s="440"/>
      <c r="M28" s="269"/>
      <c r="N28" s="272"/>
      <c r="O28" s="272"/>
      <c r="P28" s="272"/>
      <c r="Q28" s="318"/>
    </row>
    <row r="29" spans="1:23" ht="14.1" customHeight="1" x14ac:dyDescent="0.2">
      <c r="A29" s="282"/>
      <c r="B29" s="288"/>
      <c r="C29" s="282" t="s">
        <v>383</v>
      </c>
      <c r="D29" s="537">
        <f>Produksi!F23-Stok!L22+'Impor_Pangan Masuk'!F22-'Ekspor_Pangan Keluar'!F22</f>
        <v>0</v>
      </c>
      <c r="E29" s="538"/>
      <c r="F29" s="538"/>
      <c r="G29" s="537">
        <f>(D29-H29)</f>
        <v>0</v>
      </c>
      <c r="H29" s="537">
        <f>D29*P29</f>
        <v>0</v>
      </c>
      <c r="I29" s="538"/>
      <c r="J29" s="537">
        <f>D29-E29-F29-G29-H29-I29</f>
        <v>0</v>
      </c>
      <c r="K29" s="438">
        <f t="shared" si="0"/>
        <v>0</v>
      </c>
      <c r="L29" s="440"/>
      <c r="M29" s="269"/>
      <c r="N29" s="272"/>
      <c r="O29" s="272"/>
      <c r="P29" s="272">
        <v>7.1999999999999998E-3</v>
      </c>
      <c r="Q29" s="318"/>
    </row>
    <row r="30" spans="1:23" ht="14.1" customHeight="1" x14ac:dyDescent="0.2">
      <c r="A30" s="282">
        <v>8</v>
      </c>
      <c r="B30" s="288" t="s">
        <v>368</v>
      </c>
      <c r="C30" s="45"/>
      <c r="D30" s="537">
        <f>Produksi!F24-Stok!L23+'Impor_Pangan Masuk'!F23-'Ekspor_Pangan Keluar'!F23</f>
        <v>0</v>
      </c>
      <c r="E30" s="538"/>
      <c r="F30" s="538"/>
      <c r="G30" s="538"/>
      <c r="H30" s="537">
        <f>D30*P30</f>
        <v>0</v>
      </c>
      <c r="I30" s="538"/>
      <c r="J30" s="537">
        <f>D30-E30-F30-G30-H30-I30</f>
        <v>0</v>
      </c>
      <c r="K30" s="438">
        <f t="shared" si="0"/>
        <v>0</v>
      </c>
      <c r="L30" s="440"/>
      <c r="M30" s="269"/>
      <c r="N30" s="272"/>
      <c r="O30" s="272"/>
      <c r="P30" s="272">
        <v>0.02</v>
      </c>
      <c r="Q30" s="318"/>
      <c r="T30" s="21">
        <v>4</v>
      </c>
    </row>
    <row r="31" spans="1:23" ht="14.1" customHeight="1" x14ac:dyDescent="0.2">
      <c r="A31" s="282"/>
      <c r="B31" s="288"/>
      <c r="C31" s="282"/>
      <c r="D31" s="539"/>
      <c r="E31" s="539"/>
      <c r="F31" s="539"/>
      <c r="G31" s="539"/>
      <c r="H31" s="539"/>
      <c r="I31" s="539"/>
      <c r="J31" s="539"/>
      <c r="K31" s="438">
        <f t="shared" si="0"/>
        <v>0</v>
      </c>
      <c r="L31" s="440"/>
      <c r="M31" s="409"/>
      <c r="N31" s="410"/>
      <c r="O31" s="410"/>
      <c r="P31" s="410"/>
      <c r="Q31" s="408"/>
    </row>
    <row r="32" spans="1:23" ht="14.1" customHeight="1" x14ac:dyDescent="0.2">
      <c r="A32" s="288" t="s">
        <v>59</v>
      </c>
      <c r="B32" s="288"/>
      <c r="C32" s="282"/>
      <c r="D32" s="539"/>
      <c r="E32" s="539"/>
      <c r="F32" s="539"/>
      <c r="G32" s="539"/>
      <c r="H32" s="539"/>
      <c r="I32" s="539"/>
      <c r="J32" s="539"/>
      <c r="K32" s="438">
        <f t="shared" si="0"/>
        <v>0</v>
      </c>
      <c r="L32" s="440"/>
      <c r="M32" s="409"/>
      <c r="N32" s="410"/>
      <c r="O32" s="410"/>
      <c r="P32" s="410"/>
      <c r="Q32" s="408"/>
      <c r="W32" s="163"/>
    </row>
    <row r="33" spans="1:23" s="326" customFormat="1" ht="14.1" customHeight="1" x14ac:dyDescent="0.2">
      <c r="A33" s="282">
        <v>9</v>
      </c>
      <c r="B33" s="288" t="s">
        <v>384</v>
      </c>
      <c r="C33" s="45"/>
      <c r="D33" s="537">
        <f>Produksi!F27-Stok!L26+'Impor_Pangan Masuk'!F26-'Ekspor_Pangan Keluar'!F26</f>
        <v>2909</v>
      </c>
      <c r="E33" s="537">
        <f t="shared" ref="E33:F33" si="4">E34+E35</f>
        <v>0</v>
      </c>
      <c r="F33" s="537">
        <f t="shared" si="4"/>
        <v>0</v>
      </c>
      <c r="G33" s="537">
        <f>G34+G35</f>
        <v>0</v>
      </c>
      <c r="H33" s="537">
        <f>H34+H35</f>
        <v>119.85080000000001</v>
      </c>
      <c r="I33" s="537">
        <f>I34+I35</f>
        <v>0</v>
      </c>
      <c r="J33" s="537">
        <f>D33-E33-F33-G33-H33-I33</f>
        <v>2789.1491999999998</v>
      </c>
      <c r="K33" s="438">
        <f t="shared" si="0"/>
        <v>2909</v>
      </c>
      <c r="L33" s="440"/>
      <c r="M33" s="269"/>
      <c r="N33" s="272"/>
      <c r="O33" s="272"/>
      <c r="P33" s="272"/>
      <c r="Q33" s="318"/>
      <c r="R33" s="21"/>
      <c r="S33" s="21"/>
      <c r="W33" s="163"/>
    </row>
    <row r="34" spans="1:23" ht="14.1" customHeight="1" x14ac:dyDescent="0.2">
      <c r="A34" s="282"/>
      <c r="B34" s="288"/>
      <c r="C34" s="45" t="s">
        <v>399</v>
      </c>
      <c r="D34" s="537">
        <f>Produksi!F28-Stok!L27+'Impor_Pangan Masuk'!F27-'Ekspor_Pangan Keluar'!F27</f>
        <v>2909</v>
      </c>
      <c r="E34" s="538"/>
      <c r="F34" s="538"/>
      <c r="G34" s="538"/>
      <c r="H34" s="537">
        <f>D34*P34</f>
        <v>119.85080000000001</v>
      </c>
      <c r="I34" s="538"/>
      <c r="J34" s="537">
        <f>D34-E34-F34-G34-H34-I34</f>
        <v>2789.1491999999998</v>
      </c>
      <c r="K34" s="438">
        <f t="shared" si="0"/>
        <v>2909</v>
      </c>
      <c r="L34" s="440"/>
      <c r="M34" s="269"/>
      <c r="N34" s="270"/>
      <c r="O34" s="270"/>
      <c r="P34" s="270">
        <v>4.1200000000000001E-2</v>
      </c>
      <c r="Q34" s="318"/>
      <c r="W34" s="163"/>
    </row>
    <row r="35" spans="1:23" ht="14.1" customHeight="1" x14ac:dyDescent="0.2">
      <c r="A35" s="282"/>
      <c r="B35" s="324"/>
      <c r="C35" s="282" t="s">
        <v>398</v>
      </c>
      <c r="D35" s="537">
        <f>Produksi!F29-Stok!L28+'Impor_Pangan Masuk'!F28-'Ekspor_Pangan Keluar'!F28</f>
        <v>0</v>
      </c>
      <c r="E35" s="538"/>
      <c r="F35" s="538"/>
      <c r="G35" s="537">
        <f>D35-H35</f>
        <v>0</v>
      </c>
      <c r="H35" s="537">
        <f>D35*P35</f>
        <v>0</v>
      </c>
      <c r="I35" s="538"/>
      <c r="J35" s="537"/>
      <c r="K35" s="438">
        <f t="shared" si="0"/>
        <v>0</v>
      </c>
      <c r="L35" s="440"/>
      <c r="M35" s="271"/>
      <c r="N35" s="270"/>
      <c r="O35" s="270"/>
      <c r="P35" s="270">
        <v>4.1200000000000001E-2</v>
      </c>
      <c r="Q35" s="319"/>
    </row>
    <row r="36" spans="1:23" ht="14.1" customHeight="1" x14ac:dyDescent="0.2">
      <c r="A36" s="282">
        <v>10</v>
      </c>
      <c r="B36" s="288" t="s">
        <v>375</v>
      </c>
      <c r="C36" s="45"/>
      <c r="D36" s="537">
        <f>Produksi!F30-Stok!L29+'Impor_Pangan Masuk'!F29-'Ekspor_Pangan Keluar'!F29</f>
        <v>0</v>
      </c>
      <c r="E36" s="538"/>
      <c r="F36" s="538"/>
      <c r="G36" s="538"/>
      <c r="H36" s="538"/>
      <c r="I36" s="538"/>
      <c r="J36" s="537">
        <f t="shared" si="1"/>
        <v>0</v>
      </c>
      <c r="K36" s="438">
        <f t="shared" si="0"/>
        <v>0</v>
      </c>
      <c r="L36" s="440"/>
      <c r="M36" s="271"/>
      <c r="N36" s="272"/>
      <c r="O36" s="272"/>
      <c r="P36" s="272"/>
      <c r="Q36" s="318"/>
    </row>
    <row r="37" spans="1:23" ht="14.1" customHeight="1" x14ac:dyDescent="0.2">
      <c r="A37" s="282"/>
      <c r="B37" s="288"/>
      <c r="C37" s="282"/>
      <c r="D37" s="539"/>
      <c r="E37" s="539"/>
      <c r="F37" s="539"/>
      <c r="G37" s="539"/>
      <c r="H37" s="539"/>
      <c r="I37" s="539"/>
      <c r="J37" s="539"/>
      <c r="K37" s="438">
        <f t="shared" si="0"/>
        <v>0</v>
      </c>
      <c r="L37" s="440"/>
      <c r="M37" s="409"/>
      <c r="N37" s="410"/>
      <c r="O37" s="410"/>
      <c r="P37" s="410"/>
      <c r="Q37" s="408"/>
    </row>
    <row r="38" spans="1:23" ht="14.1" customHeight="1" x14ac:dyDescent="0.2">
      <c r="A38" s="288" t="s">
        <v>2</v>
      </c>
      <c r="B38" s="288"/>
      <c r="C38" s="288"/>
      <c r="D38" s="539"/>
      <c r="E38" s="539"/>
      <c r="F38" s="539"/>
      <c r="G38" s="539"/>
      <c r="H38" s="539"/>
      <c r="I38" s="539"/>
      <c r="J38" s="539"/>
      <c r="K38" s="438">
        <f t="shared" si="0"/>
        <v>0</v>
      </c>
      <c r="L38" s="440"/>
      <c r="M38" s="409"/>
      <c r="N38" s="407"/>
      <c r="O38" s="411"/>
      <c r="P38" s="407"/>
      <c r="Q38" s="408"/>
    </row>
    <row r="39" spans="1:23" ht="14.1" customHeight="1" x14ac:dyDescent="0.2">
      <c r="A39" s="288"/>
      <c r="B39" s="292" t="s">
        <v>3</v>
      </c>
      <c r="C39" s="292"/>
      <c r="D39" s="539"/>
      <c r="E39" s="539"/>
      <c r="F39" s="539"/>
      <c r="G39" s="539"/>
      <c r="H39" s="539"/>
      <c r="I39" s="539"/>
      <c r="J39" s="539"/>
      <c r="K39" s="438">
        <f t="shared" si="0"/>
        <v>0</v>
      </c>
      <c r="L39" s="440"/>
      <c r="M39" s="409"/>
      <c r="N39" s="407"/>
      <c r="O39" s="411"/>
      <c r="P39" s="407"/>
      <c r="Q39" s="412"/>
    </row>
    <row r="40" spans="1:23" s="326" customFormat="1" ht="14.1" customHeight="1" x14ac:dyDescent="0.2">
      <c r="A40" s="282">
        <v>11</v>
      </c>
      <c r="B40" s="288" t="s">
        <v>429</v>
      </c>
      <c r="C40" s="45"/>
      <c r="D40" s="537">
        <f>Produksi!F34-Stok!L33+'Impor_Pangan Masuk'!F33-'Ekspor_Pangan Keluar'!F33</f>
        <v>8.16</v>
      </c>
      <c r="E40" s="537">
        <f>D40*M40</f>
        <v>0.89760000000000006</v>
      </c>
      <c r="F40" s="537">
        <f>R40*N40</f>
        <v>0</v>
      </c>
      <c r="G40" s="537">
        <f>D40*O40</f>
        <v>0.73929600000000006</v>
      </c>
      <c r="H40" s="537">
        <f>Produksi!F34*P40</f>
        <v>0.249696</v>
      </c>
      <c r="I40" s="538"/>
      <c r="J40" s="537">
        <f>D40-E40-F40-G40-H40-I40</f>
        <v>6.2734079999999999</v>
      </c>
      <c r="K40" s="438">
        <f t="shared" si="0"/>
        <v>8.16</v>
      </c>
      <c r="L40" s="440"/>
      <c r="M40" s="271">
        <v>0.11</v>
      </c>
      <c r="N40" s="270">
        <v>9.5000000000000001E-2</v>
      </c>
      <c r="O40" s="270">
        <v>9.06E-2</v>
      </c>
      <c r="P40" s="270">
        <v>3.0599999999999999E-2</v>
      </c>
      <c r="Q40" s="318"/>
      <c r="R40" s="444">
        <f>S40</f>
        <v>0</v>
      </c>
      <c r="S40" s="444"/>
    </row>
    <row r="41" spans="1:23" ht="14.1" customHeight="1" x14ac:dyDescent="0.2">
      <c r="A41" s="282">
        <v>12</v>
      </c>
      <c r="B41" s="288" t="s">
        <v>373</v>
      </c>
      <c r="C41" s="45"/>
      <c r="D41" s="537">
        <f>Produksi!F35-Stok!L34+'Impor_Pangan Masuk'!F34-'Ekspor_Pangan Keluar'!F34</f>
        <v>1859</v>
      </c>
      <c r="E41" s="537">
        <f>D41*M41</f>
        <v>260.26000000000005</v>
      </c>
      <c r="F41" s="537">
        <f t="shared" ref="F41:F42" si="5">R41*N41</f>
        <v>0</v>
      </c>
      <c r="G41" s="538"/>
      <c r="H41" s="537">
        <f>Produksi!F35*P41</f>
        <v>0</v>
      </c>
      <c r="I41" s="538"/>
      <c r="J41" s="537">
        <f t="shared" si="1"/>
        <v>1598.74</v>
      </c>
      <c r="K41" s="438">
        <f t="shared" ref="K41:K72" si="6">E41+F41+G41+H41+I41+J41</f>
        <v>1859</v>
      </c>
      <c r="L41" s="440"/>
      <c r="M41" s="269">
        <v>0.14000000000000001</v>
      </c>
      <c r="N41" s="270">
        <v>0.05</v>
      </c>
      <c r="O41" s="270"/>
      <c r="P41" s="270">
        <v>0.05</v>
      </c>
      <c r="Q41" s="318"/>
      <c r="R41" s="444">
        <f t="shared" ref="R41:R42" si="7">S41</f>
        <v>0</v>
      </c>
      <c r="S41" s="444"/>
    </row>
    <row r="42" spans="1:23" ht="14.1" customHeight="1" x14ac:dyDescent="0.2">
      <c r="A42" s="282">
        <v>13</v>
      </c>
      <c r="B42" s="288" t="s">
        <v>374</v>
      </c>
      <c r="C42" s="45"/>
      <c r="D42" s="537">
        <f>Produksi!F36-Stok!L35+'Impor_Pangan Masuk'!F35-'Ekspor_Pangan Keluar'!F35</f>
        <v>0</v>
      </c>
      <c r="E42" s="537">
        <f>D42*M42</f>
        <v>0</v>
      </c>
      <c r="F42" s="537">
        <f t="shared" si="5"/>
        <v>0</v>
      </c>
      <c r="G42" s="538"/>
      <c r="H42" s="537">
        <f>D42*P42</f>
        <v>0</v>
      </c>
      <c r="I42" s="538"/>
      <c r="J42" s="537">
        <f t="shared" si="1"/>
        <v>0</v>
      </c>
      <c r="K42" s="438">
        <f t="shared" si="6"/>
        <v>0</v>
      </c>
      <c r="L42" s="440"/>
      <c r="M42" s="271">
        <v>0.02</v>
      </c>
      <c r="N42" s="272">
        <v>0.02</v>
      </c>
      <c r="O42" s="270"/>
      <c r="P42" s="272">
        <v>2.5700000000000001E-2</v>
      </c>
      <c r="Q42" s="318"/>
      <c r="R42" s="444">
        <f t="shared" si="7"/>
        <v>0</v>
      </c>
      <c r="S42" s="444"/>
    </row>
    <row r="43" spans="1:23" s="326" customFormat="1" ht="14.1" customHeight="1" x14ac:dyDescent="0.2">
      <c r="A43" s="282">
        <v>14</v>
      </c>
      <c r="B43" s="288" t="s">
        <v>428</v>
      </c>
      <c r="C43" s="45"/>
      <c r="D43" s="537">
        <f>Produksi!F37-Stok!L36+'Impor_Pangan Masuk'!F36-'Ekspor_Pangan Keluar'!F36</f>
        <v>0</v>
      </c>
      <c r="E43" s="537">
        <f>E44+(E45)</f>
        <v>0</v>
      </c>
      <c r="F43" s="537">
        <f>F44+(F45)</f>
        <v>0</v>
      </c>
      <c r="G43" s="537">
        <f>G44+(G45)</f>
        <v>0</v>
      </c>
      <c r="H43" s="537">
        <f>H44+(H45)</f>
        <v>0</v>
      </c>
      <c r="I43" s="537">
        <f>I44+(I45)</f>
        <v>0</v>
      </c>
      <c r="J43" s="537">
        <f>D43-E43-F43-G43-H43-I43</f>
        <v>0</v>
      </c>
      <c r="K43" s="438">
        <f t="shared" si="6"/>
        <v>0</v>
      </c>
      <c r="L43" s="440"/>
      <c r="M43" s="271"/>
      <c r="N43" s="272"/>
      <c r="O43" s="272"/>
      <c r="P43" s="318"/>
      <c r="Q43" s="318"/>
      <c r="R43" s="21"/>
      <c r="S43" s="21"/>
    </row>
    <row r="44" spans="1:23" ht="14.1" customHeight="1" x14ac:dyDescent="0.2">
      <c r="A44" s="282"/>
      <c r="B44" s="288"/>
      <c r="C44" s="45" t="s">
        <v>426</v>
      </c>
      <c r="D44" s="537">
        <f>Produksi!F38-Stok!L37+'Impor_Pangan Masuk'!F37-'Ekspor_Pangan Keluar'!F37</f>
        <v>0</v>
      </c>
      <c r="E44" s="538"/>
      <c r="F44" s="537">
        <f>D44*N44</f>
        <v>0</v>
      </c>
      <c r="G44" s="538"/>
      <c r="H44" s="537">
        <f>D44*P45</f>
        <v>0</v>
      </c>
      <c r="I44" s="538"/>
      <c r="J44" s="537">
        <f t="shared" si="1"/>
        <v>0</v>
      </c>
      <c r="K44" s="438">
        <f t="shared" si="6"/>
        <v>0</v>
      </c>
      <c r="L44" s="440"/>
      <c r="M44" s="269"/>
      <c r="N44" s="272">
        <v>5.0000000000000001E-4</v>
      </c>
      <c r="O44" s="270"/>
      <c r="P44" s="272">
        <v>3.6499999999999998E-2</v>
      </c>
      <c r="Q44" s="318"/>
    </row>
    <row r="45" spans="1:23" ht="14.1" customHeight="1" x14ac:dyDescent="0.2">
      <c r="A45" s="282"/>
      <c r="B45" s="288"/>
      <c r="C45" s="282" t="s">
        <v>427</v>
      </c>
      <c r="D45" s="537">
        <f>Produksi!F39-Stok!L38+'Impor_Pangan Masuk'!F38-'Ekspor_Pangan Keluar'!F38</f>
        <v>0</v>
      </c>
      <c r="E45" s="538"/>
      <c r="F45" s="538"/>
      <c r="G45" s="538"/>
      <c r="H45" s="537">
        <f>D45*P45</f>
        <v>0</v>
      </c>
      <c r="I45" s="537">
        <f>D45-E45-F45-G45-H45-J45</f>
        <v>0</v>
      </c>
      <c r="J45" s="540"/>
      <c r="K45" s="438">
        <f>E45+F45+G45+H45+J45+I45</f>
        <v>0</v>
      </c>
      <c r="L45" s="440"/>
      <c r="M45" s="269"/>
      <c r="N45" s="270"/>
      <c r="O45" s="270"/>
      <c r="P45" s="270">
        <v>1.09E-2</v>
      </c>
      <c r="Q45" s="318"/>
    </row>
    <row r="46" spans="1:23" ht="14.1" customHeight="1" x14ac:dyDescent="0.2">
      <c r="A46" s="282"/>
      <c r="B46" s="288"/>
      <c r="C46" s="282"/>
      <c r="D46" s="539"/>
      <c r="E46" s="539"/>
      <c r="F46" s="539"/>
      <c r="G46" s="539"/>
      <c r="H46" s="539"/>
      <c r="I46" s="539"/>
      <c r="J46" s="539"/>
      <c r="K46" s="438">
        <f t="shared" si="6"/>
        <v>0</v>
      </c>
      <c r="L46" s="440"/>
      <c r="M46" s="406"/>
      <c r="N46" s="407"/>
      <c r="O46" s="407"/>
      <c r="P46" s="407"/>
      <c r="Q46" s="408"/>
    </row>
    <row r="47" spans="1:23" ht="14.1" customHeight="1" x14ac:dyDescent="0.2">
      <c r="A47" s="288" t="s">
        <v>68</v>
      </c>
      <c r="B47" s="288"/>
      <c r="C47" s="282"/>
      <c r="D47" s="539"/>
      <c r="E47" s="539"/>
      <c r="F47" s="539"/>
      <c r="G47" s="539"/>
      <c r="H47" s="539"/>
      <c r="I47" s="539"/>
      <c r="J47" s="539"/>
      <c r="K47" s="438">
        <f t="shared" si="6"/>
        <v>0</v>
      </c>
      <c r="L47" s="440"/>
      <c r="M47" s="406"/>
      <c r="N47" s="407"/>
      <c r="O47" s="407"/>
      <c r="P47" s="407"/>
      <c r="Q47" s="408"/>
    </row>
    <row r="48" spans="1:23" ht="14.1" customHeight="1" x14ac:dyDescent="0.2">
      <c r="A48" s="282">
        <v>15</v>
      </c>
      <c r="B48" s="295" t="s">
        <v>400</v>
      </c>
      <c r="C48" s="45"/>
      <c r="D48" s="537">
        <f>Produksi!F42-Stok!L41+'Impor_Pangan Masuk'!F41-'Ekspor_Pangan Keluar'!F41</f>
        <v>285.20131178285465</v>
      </c>
      <c r="E48" s="538"/>
      <c r="F48" s="538"/>
      <c r="G48" s="538"/>
      <c r="H48" s="537">
        <f t="shared" ref="H48:H87" si="8">D48*P48</f>
        <v>3.1657345607896867</v>
      </c>
      <c r="I48" s="538"/>
      <c r="J48" s="537">
        <f t="shared" si="1"/>
        <v>282.03557722206494</v>
      </c>
      <c r="K48" s="438">
        <f t="shared" si="6"/>
        <v>285.20131178285465</v>
      </c>
      <c r="L48" s="440"/>
      <c r="M48" s="271"/>
      <c r="N48" s="270"/>
      <c r="O48" s="270"/>
      <c r="P48" s="270">
        <v>1.11E-2</v>
      </c>
      <c r="Q48" s="318"/>
    </row>
    <row r="49" spans="1:17" ht="14.1" customHeight="1" x14ac:dyDescent="0.2">
      <c r="A49" s="282">
        <v>16</v>
      </c>
      <c r="B49" s="295" t="s">
        <v>401</v>
      </c>
      <c r="C49" s="45"/>
      <c r="D49" s="537">
        <f>Produksi!F43-Stok!L42+'Impor_Pangan Masuk'!F42-'Ekspor_Pangan Keluar'!F42</f>
        <v>1467.5749902376765</v>
      </c>
      <c r="E49" s="538"/>
      <c r="F49" s="538"/>
      <c r="G49" s="538"/>
      <c r="H49" s="537">
        <f t="shared" si="8"/>
        <v>16.290082391638212</v>
      </c>
      <c r="I49" s="538"/>
      <c r="J49" s="537">
        <f t="shared" si="1"/>
        <v>1451.2849078460383</v>
      </c>
      <c r="K49" s="438">
        <f t="shared" si="6"/>
        <v>1467.5749902376765</v>
      </c>
      <c r="L49" s="440"/>
      <c r="M49" s="271"/>
      <c r="N49" s="270"/>
      <c r="O49" s="270"/>
      <c r="P49" s="270">
        <v>1.11E-2</v>
      </c>
      <c r="Q49" s="318"/>
    </row>
    <row r="50" spans="1:17" ht="14.1" customHeight="1" x14ac:dyDescent="0.2">
      <c r="A50" s="282">
        <v>17</v>
      </c>
      <c r="B50" s="295" t="s">
        <v>402</v>
      </c>
      <c r="C50" s="45"/>
      <c r="D50" s="537">
        <f>Produksi!F44-Stok!L43+'Impor_Pangan Masuk'!F43-'Ekspor_Pangan Keluar'!F43</f>
        <v>5706.2</v>
      </c>
      <c r="E50" s="538"/>
      <c r="F50" s="538"/>
      <c r="G50" s="538"/>
      <c r="H50" s="537">
        <f t="shared" si="8"/>
        <v>63.338819999999998</v>
      </c>
      <c r="I50" s="538"/>
      <c r="J50" s="537">
        <f t="shared" si="1"/>
        <v>5642.8611799999999</v>
      </c>
      <c r="K50" s="438">
        <f t="shared" si="6"/>
        <v>5706.2</v>
      </c>
      <c r="L50" s="440"/>
      <c r="M50" s="271"/>
      <c r="N50" s="270"/>
      <c r="O50" s="270"/>
      <c r="P50" s="270">
        <v>1.11E-2</v>
      </c>
      <c r="Q50" s="318"/>
    </row>
    <row r="51" spans="1:17" ht="14.1" customHeight="1" x14ac:dyDescent="0.2">
      <c r="A51" s="282">
        <v>18</v>
      </c>
      <c r="B51" s="295" t="s">
        <v>403</v>
      </c>
      <c r="C51" s="45"/>
      <c r="D51" s="537">
        <f>Produksi!F45-Stok!L44+'Impor_Pangan Masuk'!F44-'Ekspor_Pangan Keluar'!F44</f>
        <v>4812.8999999999996</v>
      </c>
      <c r="E51" s="538"/>
      <c r="F51" s="538"/>
      <c r="G51" s="538"/>
      <c r="H51" s="537">
        <f t="shared" si="8"/>
        <v>53.423189999999998</v>
      </c>
      <c r="I51" s="538"/>
      <c r="J51" s="537">
        <f t="shared" si="1"/>
        <v>4759.4768099999992</v>
      </c>
      <c r="K51" s="438">
        <f t="shared" si="6"/>
        <v>4812.8999999999996</v>
      </c>
      <c r="L51" s="440"/>
      <c r="M51" s="271"/>
      <c r="N51" s="270"/>
      <c r="O51" s="270"/>
      <c r="P51" s="270">
        <v>1.11E-2</v>
      </c>
      <c r="Q51" s="318"/>
    </row>
    <row r="52" spans="1:17" ht="14.1" customHeight="1" x14ac:dyDescent="0.2">
      <c r="A52" s="282">
        <v>19</v>
      </c>
      <c r="B52" s="295" t="s">
        <v>404</v>
      </c>
      <c r="C52" s="45"/>
      <c r="D52" s="537">
        <f>Produksi!F46-Stok!L45+'Impor_Pangan Masuk'!F45-'Ekspor_Pangan Keluar'!F45</f>
        <v>10.199999999999999</v>
      </c>
      <c r="E52" s="538"/>
      <c r="F52" s="538"/>
      <c r="G52" s="538"/>
      <c r="H52" s="537">
        <f t="shared" si="8"/>
        <v>0.11322</v>
      </c>
      <c r="I52" s="538"/>
      <c r="J52" s="537">
        <f t="shared" si="1"/>
        <v>10.086779999999999</v>
      </c>
      <c r="K52" s="438">
        <f t="shared" si="6"/>
        <v>10.199999999999999</v>
      </c>
      <c r="L52" s="440"/>
      <c r="M52" s="271"/>
      <c r="N52" s="270"/>
      <c r="O52" s="270"/>
      <c r="P52" s="270">
        <v>1.11E-2</v>
      </c>
      <c r="Q52" s="318"/>
    </row>
    <row r="53" spans="1:17" ht="14.1" customHeight="1" x14ac:dyDescent="0.2">
      <c r="A53" s="282">
        <v>20</v>
      </c>
      <c r="B53" s="295" t="s">
        <v>405</v>
      </c>
      <c r="C53" s="45"/>
      <c r="D53" s="537">
        <f>Produksi!F47-Stok!L46+'Impor_Pangan Masuk'!F46-'Ekspor_Pangan Keluar'!F46</f>
        <v>8</v>
      </c>
      <c r="E53" s="538"/>
      <c r="F53" s="538"/>
      <c r="G53" s="538"/>
      <c r="H53" s="537">
        <f t="shared" si="8"/>
        <v>8.8800000000000004E-2</v>
      </c>
      <c r="I53" s="538"/>
      <c r="J53" s="537">
        <f t="shared" si="1"/>
        <v>7.9112</v>
      </c>
      <c r="K53" s="438">
        <f t="shared" si="6"/>
        <v>8</v>
      </c>
      <c r="L53" s="440"/>
      <c r="M53" s="271"/>
      <c r="N53" s="270"/>
      <c r="O53" s="270"/>
      <c r="P53" s="270">
        <v>1.11E-2</v>
      </c>
      <c r="Q53" s="318"/>
    </row>
    <row r="54" spans="1:17" ht="14.1" customHeight="1" x14ac:dyDescent="0.2">
      <c r="A54" s="282">
        <v>21</v>
      </c>
      <c r="B54" s="295" t="s">
        <v>406</v>
      </c>
      <c r="C54" s="45"/>
      <c r="D54" s="537">
        <f>Produksi!F48-Stok!L47+'Impor_Pangan Masuk'!F47-'Ekspor_Pangan Keluar'!F47</f>
        <v>284.37000237784304</v>
      </c>
      <c r="E54" s="538"/>
      <c r="F54" s="538"/>
      <c r="G54" s="538"/>
      <c r="H54" s="537">
        <f t="shared" si="8"/>
        <v>3.156507026394058</v>
      </c>
      <c r="I54" s="538"/>
      <c r="J54" s="537">
        <f t="shared" si="1"/>
        <v>281.21349535144896</v>
      </c>
      <c r="K54" s="438">
        <f t="shared" si="6"/>
        <v>284.37000237784304</v>
      </c>
      <c r="L54" s="440"/>
      <c r="M54" s="271"/>
      <c r="N54" s="270"/>
      <c r="O54" s="270"/>
      <c r="P54" s="270">
        <v>1.11E-2</v>
      </c>
      <c r="Q54" s="318"/>
    </row>
    <row r="55" spans="1:17" ht="14.1" customHeight="1" x14ac:dyDescent="0.2">
      <c r="A55" s="282">
        <v>22</v>
      </c>
      <c r="B55" s="295" t="s">
        <v>407</v>
      </c>
      <c r="C55" s="45"/>
      <c r="D55" s="537">
        <f>Produksi!F49-Stok!L48+'Impor_Pangan Masuk'!F48-'Ekspor_Pangan Keluar'!F48</f>
        <v>75.099999999999994</v>
      </c>
      <c r="E55" s="538"/>
      <c r="F55" s="538"/>
      <c r="G55" s="538"/>
      <c r="H55" s="537">
        <f t="shared" si="8"/>
        <v>0.83360999999999996</v>
      </c>
      <c r="I55" s="538"/>
      <c r="J55" s="537">
        <f t="shared" si="1"/>
        <v>74.266390000000001</v>
      </c>
      <c r="K55" s="438">
        <f t="shared" si="6"/>
        <v>75.099999999999994</v>
      </c>
      <c r="L55" s="440"/>
      <c r="M55" s="271"/>
      <c r="N55" s="270"/>
      <c r="O55" s="270"/>
      <c r="P55" s="270">
        <v>1.11E-2</v>
      </c>
      <c r="Q55" s="318"/>
    </row>
    <row r="56" spans="1:17" ht="14.1" customHeight="1" x14ac:dyDescent="0.2">
      <c r="A56" s="282">
        <v>23</v>
      </c>
      <c r="B56" s="295" t="s">
        <v>408</v>
      </c>
      <c r="C56" s="45"/>
      <c r="D56" s="537">
        <f>Produksi!F50-Stok!L49+'Impor_Pangan Masuk'!F49-'Ekspor_Pangan Keluar'!F49</f>
        <v>1720.7869798366312</v>
      </c>
      <c r="E56" s="538"/>
      <c r="F56" s="538"/>
      <c r="G56" s="538"/>
      <c r="H56" s="537">
        <f t="shared" si="8"/>
        <v>19.100735476186607</v>
      </c>
      <c r="I56" s="538"/>
      <c r="J56" s="537">
        <f t="shared" si="1"/>
        <v>1701.6862443604446</v>
      </c>
      <c r="K56" s="438">
        <f t="shared" si="6"/>
        <v>1720.7869798366312</v>
      </c>
      <c r="L56" s="440"/>
      <c r="M56" s="271"/>
      <c r="N56" s="270"/>
      <c r="O56" s="270"/>
      <c r="P56" s="270">
        <v>1.11E-2</v>
      </c>
      <c r="Q56" s="318"/>
    </row>
    <row r="57" spans="1:17" ht="14.1" customHeight="1" x14ac:dyDescent="0.2">
      <c r="A57" s="282">
        <v>24</v>
      </c>
      <c r="B57" s="295" t="s">
        <v>409</v>
      </c>
      <c r="C57" s="45"/>
      <c r="D57" s="537">
        <f>Produksi!F51-Stok!L50+'Impor_Pangan Masuk'!F50-'Ekspor_Pangan Keluar'!F50</f>
        <v>1392.3395479455239</v>
      </c>
      <c r="E57" s="538"/>
      <c r="F57" s="538"/>
      <c r="G57" s="538"/>
      <c r="H57" s="537">
        <f t="shared" si="8"/>
        <v>15.454968982195316</v>
      </c>
      <c r="I57" s="538"/>
      <c r="J57" s="537">
        <f t="shared" si="1"/>
        <v>1376.8845789633285</v>
      </c>
      <c r="K57" s="438">
        <f t="shared" si="6"/>
        <v>1392.3395479455239</v>
      </c>
      <c r="L57" s="440"/>
      <c r="M57" s="271"/>
      <c r="N57" s="270"/>
      <c r="O57" s="270"/>
      <c r="P57" s="270">
        <v>1.11E-2</v>
      </c>
      <c r="Q57" s="318"/>
    </row>
    <row r="58" spans="1:17" ht="14.1" customHeight="1" x14ac:dyDescent="0.2">
      <c r="A58" s="282">
        <v>25</v>
      </c>
      <c r="B58" s="295" t="s">
        <v>410</v>
      </c>
      <c r="C58" s="45"/>
      <c r="D58" s="537">
        <f>Produksi!F52-Stok!L51+'Impor_Pangan Masuk'!F51-'Ekspor_Pangan Keluar'!F51</f>
        <v>374</v>
      </c>
      <c r="E58" s="538"/>
      <c r="F58" s="538"/>
      <c r="G58" s="538"/>
      <c r="H58" s="537">
        <f t="shared" si="8"/>
        <v>4.1513999999999998</v>
      </c>
      <c r="I58" s="538"/>
      <c r="J58" s="537">
        <f t="shared" si="1"/>
        <v>369.84859999999998</v>
      </c>
      <c r="K58" s="438">
        <f t="shared" si="6"/>
        <v>374</v>
      </c>
      <c r="L58" s="440"/>
      <c r="M58" s="271"/>
      <c r="N58" s="270"/>
      <c r="O58" s="270"/>
      <c r="P58" s="270">
        <v>1.11E-2</v>
      </c>
      <c r="Q58" s="318"/>
    </row>
    <row r="59" spans="1:17" ht="14.1" customHeight="1" x14ac:dyDescent="0.2">
      <c r="A59" s="282">
        <v>26</v>
      </c>
      <c r="B59" s="295" t="s">
        <v>411</v>
      </c>
      <c r="C59" s="45"/>
      <c r="D59" s="537">
        <f>Produksi!F53-Stok!L52+'Impor_Pangan Masuk'!F52-'Ekspor_Pangan Keluar'!F52</f>
        <v>932.06330359921458</v>
      </c>
      <c r="E59" s="538"/>
      <c r="F59" s="538"/>
      <c r="G59" s="538"/>
      <c r="H59" s="537">
        <f t="shared" si="8"/>
        <v>10.345902669951283</v>
      </c>
      <c r="I59" s="538"/>
      <c r="J59" s="537">
        <f t="shared" si="1"/>
        <v>921.71740092926325</v>
      </c>
      <c r="K59" s="438">
        <f t="shared" si="6"/>
        <v>932.06330359921458</v>
      </c>
      <c r="L59" s="440"/>
      <c r="M59" s="271"/>
      <c r="N59" s="270"/>
      <c r="O59" s="270"/>
      <c r="P59" s="270">
        <v>1.11E-2</v>
      </c>
      <c r="Q59" s="318"/>
    </row>
    <row r="60" spans="1:17" ht="14.1" customHeight="1" x14ac:dyDescent="0.2">
      <c r="A60" s="282">
        <v>27</v>
      </c>
      <c r="B60" s="295" t="s">
        <v>412</v>
      </c>
      <c r="C60" s="45"/>
      <c r="D60" s="537">
        <f>Produksi!F54-Stok!L53+'Impor_Pangan Masuk'!F53-'Ekspor_Pangan Keluar'!F53</f>
        <v>10.6</v>
      </c>
      <c r="E60" s="538"/>
      <c r="F60" s="538"/>
      <c r="G60" s="538"/>
      <c r="H60" s="537">
        <f t="shared" si="8"/>
        <v>0.11766</v>
      </c>
      <c r="I60" s="538"/>
      <c r="J60" s="537">
        <f t="shared" si="1"/>
        <v>10.482339999999999</v>
      </c>
      <c r="K60" s="438">
        <f t="shared" si="6"/>
        <v>10.6</v>
      </c>
      <c r="L60" s="440"/>
      <c r="M60" s="271"/>
      <c r="N60" s="270"/>
      <c r="O60" s="270"/>
      <c r="P60" s="270">
        <v>1.11E-2</v>
      </c>
      <c r="Q60" s="318"/>
    </row>
    <row r="61" spans="1:17" ht="14.1" customHeight="1" x14ac:dyDescent="0.2">
      <c r="A61" s="282">
        <v>28</v>
      </c>
      <c r="B61" s="295" t="s">
        <v>4</v>
      </c>
      <c r="C61" s="45"/>
      <c r="D61" s="537">
        <f>Produksi!F55-Stok!L54+'Impor_Pangan Masuk'!F54-'Ekspor_Pangan Keluar'!F54</f>
        <v>88.4</v>
      </c>
      <c r="E61" s="538"/>
      <c r="F61" s="538"/>
      <c r="G61" s="538"/>
      <c r="H61" s="537">
        <f t="shared" si="8"/>
        <v>0.98124000000000011</v>
      </c>
      <c r="I61" s="538"/>
      <c r="J61" s="537">
        <f t="shared" si="1"/>
        <v>87.418760000000006</v>
      </c>
      <c r="K61" s="438">
        <f t="shared" si="6"/>
        <v>88.4</v>
      </c>
      <c r="L61" s="440"/>
      <c r="M61" s="271"/>
      <c r="N61" s="270"/>
      <c r="O61" s="270"/>
      <c r="P61" s="270">
        <v>1.11E-2</v>
      </c>
      <c r="Q61" s="318"/>
    </row>
    <row r="62" spans="1:17" ht="14.1" customHeight="1" x14ac:dyDescent="0.2">
      <c r="A62" s="282">
        <v>29</v>
      </c>
      <c r="B62" s="295" t="s">
        <v>413</v>
      </c>
      <c r="C62" s="45"/>
      <c r="D62" s="537">
        <f>Produksi!F56-Stok!L55+'Impor_Pangan Masuk'!F55-'Ekspor_Pangan Keluar'!F55</f>
        <v>1752.5785386854404</v>
      </c>
      <c r="E62" s="538"/>
      <c r="F62" s="538"/>
      <c r="G62" s="538"/>
      <c r="H62" s="537">
        <f t="shared" si="8"/>
        <v>19.45362177940839</v>
      </c>
      <c r="I62" s="538"/>
      <c r="J62" s="537">
        <f t="shared" si="1"/>
        <v>1733.124916906032</v>
      </c>
      <c r="K62" s="438">
        <f t="shared" si="6"/>
        <v>1752.5785386854404</v>
      </c>
      <c r="L62" s="440"/>
      <c r="M62" s="271"/>
      <c r="N62" s="270"/>
      <c r="O62" s="270"/>
      <c r="P62" s="270">
        <v>1.11E-2</v>
      </c>
      <c r="Q62" s="318"/>
    </row>
    <row r="63" spans="1:17" ht="14.1" customHeight="1" x14ac:dyDescent="0.2">
      <c r="A63" s="282">
        <v>30</v>
      </c>
      <c r="B63" s="295" t="s">
        <v>414</v>
      </c>
      <c r="C63" s="45"/>
      <c r="D63" s="537">
        <f>Produksi!F57-Stok!L56+'Impor_Pangan Masuk'!F56-'Ekspor_Pangan Keluar'!F56</f>
        <v>0.8</v>
      </c>
      <c r="E63" s="538"/>
      <c r="F63" s="538"/>
      <c r="G63" s="538"/>
      <c r="H63" s="537">
        <f t="shared" si="8"/>
        <v>8.8800000000000007E-3</v>
      </c>
      <c r="I63" s="538"/>
      <c r="J63" s="537">
        <f t="shared" si="1"/>
        <v>0.79112000000000005</v>
      </c>
      <c r="K63" s="438">
        <f t="shared" si="6"/>
        <v>0.8</v>
      </c>
      <c r="L63" s="440"/>
      <c r="M63" s="271"/>
      <c r="N63" s="270"/>
      <c r="O63" s="270"/>
      <c r="P63" s="270">
        <v>1.11E-2</v>
      </c>
      <c r="Q63" s="318"/>
    </row>
    <row r="64" spans="1:17" ht="14.1" customHeight="1" x14ac:dyDescent="0.2">
      <c r="A64" s="282">
        <v>31</v>
      </c>
      <c r="B64" s="295" t="s">
        <v>415</v>
      </c>
      <c r="C64" s="45"/>
      <c r="D64" s="537">
        <f>Produksi!F58-Stok!L57+'Impor_Pangan Masuk'!F57-'Ekspor_Pangan Keluar'!F57</f>
        <v>398.5</v>
      </c>
      <c r="E64" s="538"/>
      <c r="F64" s="538"/>
      <c r="G64" s="538"/>
      <c r="H64" s="537">
        <f t="shared" si="8"/>
        <v>4.4233500000000001</v>
      </c>
      <c r="I64" s="538"/>
      <c r="J64" s="537">
        <f t="shared" si="1"/>
        <v>394.07664999999997</v>
      </c>
      <c r="K64" s="438">
        <f t="shared" si="6"/>
        <v>398.5</v>
      </c>
      <c r="L64" s="440"/>
      <c r="M64" s="271"/>
      <c r="N64" s="270"/>
      <c r="O64" s="270"/>
      <c r="P64" s="270">
        <v>1.11E-2</v>
      </c>
      <c r="Q64" s="318"/>
    </row>
    <row r="65" spans="1:17" ht="14.1" customHeight="1" x14ac:dyDescent="0.2">
      <c r="A65" s="282">
        <v>32</v>
      </c>
      <c r="B65" s="295" t="s">
        <v>416</v>
      </c>
      <c r="C65" s="45"/>
      <c r="D65" s="537">
        <f>Produksi!F59-Stok!L58+'Impor_Pangan Masuk'!F58-'Ekspor_Pangan Keluar'!F58</f>
        <v>632.70000000000005</v>
      </c>
      <c r="E65" s="538"/>
      <c r="F65" s="538"/>
      <c r="G65" s="538"/>
      <c r="H65" s="537">
        <f t="shared" si="8"/>
        <v>7.0229700000000008</v>
      </c>
      <c r="I65" s="538"/>
      <c r="J65" s="537">
        <f t="shared" si="1"/>
        <v>625.67703000000006</v>
      </c>
      <c r="K65" s="438">
        <f t="shared" si="6"/>
        <v>632.70000000000005</v>
      </c>
      <c r="L65" s="440"/>
      <c r="M65" s="271"/>
      <c r="N65" s="270"/>
      <c r="O65" s="270"/>
      <c r="P65" s="272">
        <v>1.11E-2</v>
      </c>
      <c r="Q65" s="318"/>
    </row>
    <row r="66" spans="1:17" ht="14.1" customHeight="1" x14ac:dyDescent="0.2">
      <c r="A66" s="282">
        <v>33</v>
      </c>
      <c r="B66" s="295" t="s">
        <v>417</v>
      </c>
      <c r="C66" s="45"/>
      <c r="D66" s="537">
        <f>Produksi!F60-Stok!L59+'Impor_Pangan Masuk'!F59-'Ekspor_Pangan Keluar'!F59</f>
        <v>0</v>
      </c>
      <c r="E66" s="538"/>
      <c r="F66" s="538"/>
      <c r="G66" s="538"/>
      <c r="H66" s="537">
        <f t="shared" si="8"/>
        <v>0</v>
      </c>
      <c r="I66" s="538"/>
      <c r="J66" s="537">
        <f t="shared" si="1"/>
        <v>0</v>
      </c>
      <c r="K66" s="438">
        <f t="shared" si="6"/>
        <v>0</v>
      </c>
      <c r="L66" s="440"/>
      <c r="M66" s="271"/>
      <c r="N66" s="270"/>
      <c r="O66" s="270"/>
      <c r="P66" s="272">
        <v>1.11E-2</v>
      </c>
      <c r="Q66" s="318"/>
    </row>
    <row r="67" spans="1:17" ht="14.1" customHeight="1" x14ac:dyDescent="0.2">
      <c r="A67" s="282">
        <v>34</v>
      </c>
      <c r="B67" s="295" t="s">
        <v>418</v>
      </c>
      <c r="C67" s="45"/>
      <c r="D67" s="537">
        <f>Produksi!F61-Stok!L60+'Impor_Pangan Masuk'!F60-'Ekspor_Pangan Keluar'!F60</f>
        <v>6.9</v>
      </c>
      <c r="E67" s="538"/>
      <c r="F67" s="538"/>
      <c r="G67" s="538"/>
      <c r="H67" s="537">
        <f t="shared" si="8"/>
        <v>7.6590000000000005E-2</v>
      </c>
      <c r="I67" s="538"/>
      <c r="J67" s="537">
        <f t="shared" si="1"/>
        <v>6.82341</v>
      </c>
      <c r="K67" s="438">
        <f t="shared" si="6"/>
        <v>6.9</v>
      </c>
      <c r="L67" s="440"/>
      <c r="M67" s="271"/>
      <c r="N67" s="272"/>
      <c r="O67" s="272"/>
      <c r="P67" s="272">
        <v>1.11E-2</v>
      </c>
      <c r="Q67" s="318"/>
    </row>
    <row r="68" spans="1:17" ht="14.1" customHeight="1" x14ac:dyDescent="0.2">
      <c r="A68" s="282">
        <v>35</v>
      </c>
      <c r="B68" s="295" t="s">
        <v>419</v>
      </c>
      <c r="C68" s="45"/>
      <c r="D68" s="537">
        <f>Produksi!F62-Stok!L61+'Impor_Pangan Masuk'!F61-'Ekspor_Pangan Keluar'!F61</f>
        <v>38.6</v>
      </c>
      <c r="E68" s="538"/>
      <c r="F68" s="538"/>
      <c r="G68" s="538"/>
      <c r="H68" s="537">
        <f t="shared" si="8"/>
        <v>0.42846000000000001</v>
      </c>
      <c r="I68" s="538"/>
      <c r="J68" s="537">
        <f t="shared" si="1"/>
        <v>38.17154</v>
      </c>
      <c r="K68" s="438">
        <f t="shared" si="6"/>
        <v>38.6</v>
      </c>
      <c r="L68" s="440"/>
      <c r="M68" s="271"/>
      <c r="N68" s="272"/>
      <c r="O68" s="272"/>
      <c r="P68" s="272">
        <v>1.11E-2</v>
      </c>
      <c r="Q68" s="318"/>
    </row>
    <row r="69" spans="1:17" ht="14.1" customHeight="1" x14ac:dyDescent="0.2">
      <c r="A69" s="282">
        <v>36</v>
      </c>
      <c r="B69" s="295" t="s">
        <v>420</v>
      </c>
      <c r="C69" s="45"/>
      <c r="D69" s="537">
        <f>Produksi!F63-Stok!L62+'Impor_Pangan Masuk'!F62-'Ekspor_Pangan Keluar'!F62</f>
        <v>183.23814768044039</v>
      </c>
      <c r="E69" s="538"/>
      <c r="F69" s="538"/>
      <c r="G69" s="538"/>
      <c r="H69" s="537">
        <f t="shared" si="8"/>
        <v>2.0339434392528886</v>
      </c>
      <c r="I69" s="538"/>
      <c r="J69" s="537">
        <f t="shared" si="1"/>
        <v>181.20420424118751</v>
      </c>
      <c r="K69" s="438">
        <f t="shared" si="6"/>
        <v>183.23814768044039</v>
      </c>
      <c r="L69" s="440"/>
      <c r="M69" s="269"/>
      <c r="N69" s="272"/>
      <c r="O69" s="272"/>
      <c r="P69" s="272">
        <v>1.11E-2</v>
      </c>
      <c r="Q69" s="318"/>
    </row>
    <row r="70" spans="1:17" ht="14.1" customHeight="1" x14ac:dyDescent="0.2">
      <c r="A70" s="282">
        <v>37</v>
      </c>
      <c r="B70" s="295" t="s">
        <v>421</v>
      </c>
      <c r="C70" s="45"/>
      <c r="D70" s="537">
        <f>Produksi!F64-Stok!L63+'Impor_Pangan Masuk'!F63-'Ekspor_Pangan Keluar'!F63</f>
        <v>87</v>
      </c>
      <c r="E70" s="538"/>
      <c r="F70" s="538"/>
      <c r="G70" s="538"/>
      <c r="H70" s="537">
        <f t="shared" si="8"/>
        <v>0.9657</v>
      </c>
      <c r="I70" s="538"/>
      <c r="J70" s="537">
        <f t="shared" si="1"/>
        <v>86.034300000000002</v>
      </c>
      <c r="K70" s="438">
        <f t="shared" si="6"/>
        <v>87</v>
      </c>
      <c r="L70" s="440"/>
      <c r="M70" s="269"/>
      <c r="N70" s="272"/>
      <c r="O70" s="272"/>
      <c r="P70" s="272">
        <v>1.11E-2</v>
      </c>
      <c r="Q70" s="318"/>
    </row>
    <row r="71" spans="1:17" ht="14.1" customHeight="1" x14ac:dyDescent="0.2">
      <c r="A71" s="282">
        <v>38</v>
      </c>
      <c r="B71" s="295" t="s">
        <v>422</v>
      </c>
      <c r="C71" s="45"/>
      <c r="D71" s="537">
        <f>Produksi!F65-Stok!L64+'Impor_Pangan Masuk'!F64-'Ekspor_Pangan Keluar'!F64</f>
        <v>0</v>
      </c>
      <c r="E71" s="538"/>
      <c r="F71" s="538"/>
      <c r="G71" s="538"/>
      <c r="H71" s="537">
        <f t="shared" si="8"/>
        <v>0</v>
      </c>
      <c r="I71" s="538"/>
      <c r="J71" s="537">
        <f t="shared" si="1"/>
        <v>0</v>
      </c>
      <c r="K71" s="438">
        <f t="shared" si="6"/>
        <v>0</v>
      </c>
      <c r="L71" s="440"/>
      <c r="M71" s="269"/>
      <c r="N71" s="272"/>
      <c r="O71" s="272"/>
      <c r="P71" s="272">
        <v>1.11E-2</v>
      </c>
      <c r="Q71" s="318"/>
    </row>
    <row r="72" spans="1:17" ht="14.1" customHeight="1" x14ac:dyDescent="0.2">
      <c r="A72" s="282">
        <v>39</v>
      </c>
      <c r="B72" s="295" t="s">
        <v>423</v>
      </c>
      <c r="C72" s="45"/>
      <c r="D72" s="537">
        <f>Produksi!F66-Stok!L65+'Impor_Pangan Masuk'!F65-'Ekspor_Pangan Keluar'!F65</f>
        <v>0</v>
      </c>
      <c r="E72" s="538"/>
      <c r="F72" s="538"/>
      <c r="G72" s="538"/>
      <c r="H72" s="537">
        <f t="shared" si="8"/>
        <v>0</v>
      </c>
      <c r="I72" s="538"/>
      <c r="J72" s="537">
        <f t="shared" si="1"/>
        <v>0</v>
      </c>
      <c r="K72" s="438">
        <f t="shared" si="6"/>
        <v>0</v>
      </c>
      <c r="L72" s="440"/>
      <c r="M72" s="269"/>
      <c r="N72" s="272"/>
      <c r="O72" s="272"/>
      <c r="P72" s="272">
        <v>1.11E-2</v>
      </c>
      <c r="Q72" s="318"/>
    </row>
    <row r="73" spans="1:17" ht="14.1" customHeight="1" x14ac:dyDescent="0.2">
      <c r="A73" s="282">
        <v>40</v>
      </c>
      <c r="B73" s="295" t="s">
        <v>5</v>
      </c>
      <c r="C73" s="45"/>
      <c r="D73" s="537">
        <f>Produksi!F67-Stok!L66+'Impor_Pangan Masuk'!F66-'Ekspor_Pangan Keluar'!F66</f>
        <v>7</v>
      </c>
      <c r="E73" s="538"/>
      <c r="F73" s="538"/>
      <c r="G73" s="538"/>
      <c r="H73" s="537">
        <f t="shared" si="8"/>
        <v>7.7700000000000005E-2</v>
      </c>
      <c r="I73" s="538"/>
      <c r="J73" s="537">
        <f t="shared" si="1"/>
        <v>6.9222999999999999</v>
      </c>
      <c r="K73" s="438">
        <f t="shared" ref="K73:K106" si="9">E73+F73+G73+H73+I73+J73</f>
        <v>7</v>
      </c>
      <c r="L73" s="440"/>
      <c r="M73" s="269"/>
      <c r="N73" s="272"/>
      <c r="O73" s="272"/>
      <c r="P73" s="272">
        <v>1.11E-2</v>
      </c>
      <c r="Q73" s="318"/>
    </row>
    <row r="74" spans="1:17" ht="14.1" customHeight="1" x14ac:dyDescent="0.2">
      <c r="A74" s="282">
        <v>41</v>
      </c>
      <c r="B74" s="295" t="s">
        <v>6</v>
      </c>
      <c r="C74" s="45"/>
      <c r="D74" s="537">
        <f>Produksi!F68-Stok!L67+'Impor_Pangan Masuk'!F67-'Ekspor_Pangan Keluar'!F67</f>
        <v>10</v>
      </c>
      <c r="E74" s="538"/>
      <c r="F74" s="538"/>
      <c r="G74" s="538"/>
      <c r="H74" s="537">
        <f t="shared" si="8"/>
        <v>0.111</v>
      </c>
      <c r="I74" s="538"/>
      <c r="J74" s="537">
        <f t="shared" ref="J74:J135" si="10">D74-E74-F74-G74-H74-I74</f>
        <v>9.8889999999999993</v>
      </c>
      <c r="K74" s="438">
        <f t="shared" si="9"/>
        <v>10</v>
      </c>
      <c r="L74" s="440"/>
      <c r="M74" s="269"/>
      <c r="N74" s="272"/>
      <c r="O74" s="272"/>
      <c r="P74" s="272">
        <v>1.11E-2</v>
      </c>
      <c r="Q74" s="318"/>
    </row>
    <row r="75" spans="1:17" ht="14.1" customHeight="1" x14ac:dyDescent="0.2">
      <c r="A75" s="282">
        <v>42</v>
      </c>
      <c r="B75" s="295" t="s">
        <v>7</v>
      </c>
      <c r="C75" s="45"/>
      <c r="D75" s="537">
        <f>Produksi!F69-Stok!L68+'Impor_Pangan Masuk'!F68-'Ekspor_Pangan Keluar'!F68</f>
        <v>0</v>
      </c>
      <c r="E75" s="538"/>
      <c r="F75" s="538"/>
      <c r="G75" s="538"/>
      <c r="H75" s="537">
        <f t="shared" si="8"/>
        <v>0</v>
      </c>
      <c r="I75" s="538"/>
      <c r="J75" s="537">
        <f t="shared" si="10"/>
        <v>0</v>
      </c>
      <c r="K75" s="438">
        <f t="shared" si="9"/>
        <v>0</v>
      </c>
      <c r="L75" s="440"/>
      <c r="M75" s="269"/>
      <c r="N75" s="272"/>
      <c r="O75" s="272"/>
      <c r="P75" s="272">
        <v>1.11E-2</v>
      </c>
      <c r="Q75" s="318"/>
    </row>
    <row r="76" spans="1:17" ht="14.1" customHeight="1" x14ac:dyDescent="0.2">
      <c r="A76" s="282">
        <v>43</v>
      </c>
      <c r="B76" s="295" t="s">
        <v>424</v>
      </c>
      <c r="C76" s="45"/>
      <c r="D76" s="537">
        <f>Produksi!F70-Stok!L69+'Impor_Pangan Masuk'!F69-'Ekspor_Pangan Keluar'!F69</f>
        <v>0</v>
      </c>
      <c r="E76" s="538"/>
      <c r="F76" s="538"/>
      <c r="G76" s="538"/>
      <c r="H76" s="537">
        <f t="shared" si="8"/>
        <v>0</v>
      </c>
      <c r="I76" s="538"/>
      <c r="J76" s="537">
        <f t="shared" si="10"/>
        <v>0</v>
      </c>
      <c r="K76" s="438">
        <f t="shared" si="9"/>
        <v>0</v>
      </c>
      <c r="L76" s="440"/>
      <c r="M76" s="269"/>
      <c r="N76" s="272"/>
      <c r="O76" s="272"/>
      <c r="P76" s="272">
        <v>1.11E-2</v>
      </c>
      <c r="Q76" s="318"/>
    </row>
    <row r="77" spans="1:17" ht="14.1" customHeight="1" x14ac:dyDescent="0.2">
      <c r="A77" s="282">
        <v>44</v>
      </c>
      <c r="B77" s="395" t="s">
        <v>8</v>
      </c>
      <c r="C77" s="45"/>
      <c r="D77" s="537">
        <f>Produksi!F71-Stok!L70+'Impor_Pangan Masuk'!F70-'Ekspor_Pangan Keluar'!F70</f>
        <v>50</v>
      </c>
      <c r="E77" s="538"/>
      <c r="F77" s="538"/>
      <c r="G77" s="538"/>
      <c r="H77" s="537">
        <f t="shared" si="8"/>
        <v>0.55500000000000005</v>
      </c>
      <c r="I77" s="538"/>
      <c r="J77" s="537">
        <f t="shared" si="10"/>
        <v>49.445</v>
      </c>
      <c r="K77" s="438">
        <f t="shared" si="9"/>
        <v>50</v>
      </c>
      <c r="L77" s="440"/>
      <c r="M77" s="269"/>
      <c r="N77" s="272"/>
      <c r="O77" s="272"/>
      <c r="P77" s="272">
        <v>1.11E-2</v>
      </c>
      <c r="Q77" s="318"/>
    </row>
    <row r="78" spans="1:17" ht="14.1" customHeight="1" x14ac:dyDescent="0.2">
      <c r="A78" s="282">
        <v>45</v>
      </c>
      <c r="B78" s="295" t="s">
        <v>9</v>
      </c>
      <c r="C78" s="45"/>
      <c r="D78" s="537">
        <f>Produksi!F72-Stok!L71+'Impor_Pangan Masuk'!F71-'Ekspor_Pangan Keluar'!F71</f>
        <v>0</v>
      </c>
      <c r="E78" s="538"/>
      <c r="F78" s="538"/>
      <c r="G78" s="538"/>
      <c r="H78" s="537">
        <f t="shared" si="8"/>
        <v>0</v>
      </c>
      <c r="I78" s="538"/>
      <c r="J78" s="537">
        <f t="shared" si="10"/>
        <v>0</v>
      </c>
      <c r="K78" s="438">
        <f t="shared" si="9"/>
        <v>0</v>
      </c>
      <c r="L78" s="440"/>
      <c r="M78" s="269"/>
      <c r="N78" s="272"/>
      <c r="O78" s="272"/>
      <c r="P78" s="272">
        <v>1.11E-2</v>
      </c>
      <c r="Q78" s="318"/>
    </row>
    <row r="79" spans="1:17" ht="14.1" customHeight="1" x14ac:dyDescent="0.2">
      <c r="A79" s="282">
        <v>46</v>
      </c>
      <c r="B79" s="295" t="s">
        <v>10</v>
      </c>
      <c r="C79" s="45"/>
      <c r="D79" s="537">
        <f>Produksi!F73-Stok!L72+'Impor_Pangan Masuk'!F72-'Ekspor_Pangan Keluar'!F72</f>
        <v>0</v>
      </c>
      <c r="E79" s="538"/>
      <c r="F79" s="538"/>
      <c r="G79" s="538"/>
      <c r="H79" s="537">
        <f t="shared" si="8"/>
        <v>0</v>
      </c>
      <c r="I79" s="538"/>
      <c r="J79" s="537">
        <f t="shared" si="10"/>
        <v>0</v>
      </c>
      <c r="K79" s="438">
        <f t="shared" si="9"/>
        <v>0</v>
      </c>
      <c r="L79" s="440"/>
      <c r="M79" s="269"/>
      <c r="N79" s="272"/>
      <c r="O79" s="272"/>
      <c r="P79" s="272">
        <v>1.11E-2</v>
      </c>
      <c r="Q79" s="318"/>
    </row>
    <row r="80" spans="1:17" s="52" customFormat="1" ht="14.1" customHeight="1" x14ac:dyDescent="0.2">
      <c r="A80" s="282">
        <v>47</v>
      </c>
      <c r="B80" s="295" t="s">
        <v>11</v>
      </c>
      <c r="C80" s="45"/>
      <c r="D80" s="537">
        <f>Produksi!F74-Stok!L73+'Impor_Pangan Masuk'!F73-'Ekspor_Pangan Keluar'!F73</f>
        <v>0</v>
      </c>
      <c r="E80" s="538"/>
      <c r="F80" s="538"/>
      <c r="G80" s="538"/>
      <c r="H80" s="537">
        <f t="shared" si="8"/>
        <v>0</v>
      </c>
      <c r="I80" s="538"/>
      <c r="J80" s="537">
        <f t="shared" si="10"/>
        <v>0</v>
      </c>
      <c r="K80" s="438">
        <f t="shared" si="9"/>
        <v>0</v>
      </c>
      <c r="L80" s="440"/>
      <c r="M80" s="269"/>
      <c r="N80" s="273"/>
      <c r="O80" s="273"/>
      <c r="P80" s="273">
        <v>1.11E-2</v>
      </c>
      <c r="Q80" s="318"/>
    </row>
    <row r="81" spans="1:20" s="52" customFormat="1" ht="14.1" customHeight="1" x14ac:dyDescent="0.2">
      <c r="A81" s="282">
        <v>48</v>
      </c>
      <c r="B81" s="295" t="s">
        <v>12</v>
      </c>
      <c r="C81" s="45"/>
      <c r="D81" s="537">
        <f>Produksi!F75-Stok!L74+'Impor_Pangan Masuk'!F74-'Ekspor_Pangan Keluar'!F74</f>
        <v>0</v>
      </c>
      <c r="E81" s="538"/>
      <c r="F81" s="538"/>
      <c r="G81" s="538"/>
      <c r="H81" s="537">
        <f t="shared" si="8"/>
        <v>0</v>
      </c>
      <c r="I81" s="538"/>
      <c r="J81" s="537">
        <f t="shared" si="10"/>
        <v>0</v>
      </c>
      <c r="K81" s="438">
        <f t="shared" si="9"/>
        <v>0</v>
      </c>
      <c r="L81" s="440"/>
      <c r="M81" s="269"/>
      <c r="N81" s="273"/>
      <c r="O81" s="273"/>
      <c r="P81" s="273">
        <v>1.11E-2</v>
      </c>
      <c r="Q81" s="318"/>
    </row>
    <row r="82" spans="1:20" ht="14.1" customHeight="1" x14ac:dyDescent="0.2">
      <c r="A82" s="282">
        <v>49</v>
      </c>
      <c r="B82" s="295" t="s">
        <v>13</v>
      </c>
      <c r="C82" s="45"/>
      <c r="D82" s="537">
        <f>Produksi!F76-Stok!L75+'Impor_Pangan Masuk'!F75-'Ekspor_Pangan Keluar'!F75</f>
        <v>126</v>
      </c>
      <c r="E82" s="538"/>
      <c r="F82" s="538"/>
      <c r="G82" s="538"/>
      <c r="H82" s="537">
        <f t="shared" si="8"/>
        <v>1.3986000000000001</v>
      </c>
      <c r="I82" s="538"/>
      <c r="J82" s="537">
        <f t="shared" si="10"/>
        <v>124.6014</v>
      </c>
      <c r="K82" s="438">
        <f t="shared" si="9"/>
        <v>126</v>
      </c>
      <c r="L82" s="440"/>
      <c r="M82" s="269"/>
      <c r="N82" s="272"/>
      <c r="O82" s="272"/>
      <c r="P82" s="272">
        <v>1.11E-2</v>
      </c>
      <c r="Q82" s="318"/>
    </row>
    <row r="83" spans="1:20" ht="14.1" customHeight="1" x14ac:dyDescent="0.2">
      <c r="A83" s="282">
        <v>50</v>
      </c>
      <c r="B83" s="295" t="s">
        <v>14</v>
      </c>
      <c r="C83" s="45"/>
      <c r="D83" s="537">
        <f>Produksi!F77-Stok!L76+'Impor_Pangan Masuk'!F76-'Ekspor_Pangan Keluar'!F76</f>
        <v>0</v>
      </c>
      <c r="E83" s="538"/>
      <c r="F83" s="538"/>
      <c r="G83" s="538"/>
      <c r="H83" s="537">
        <f t="shared" si="8"/>
        <v>0</v>
      </c>
      <c r="I83" s="538"/>
      <c r="J83" s="537">
        <f t="shared" si="10"/>
        <v>0</v>
      </c>
      <c r="K83" s="438">
        <f t="shared" si="9"/>
        <v>0</v>
      </c>
      <c r="L83" s="440"/>
      <c r="M83" s="269"/>
      <c r="N83" s="272"/>
      <c r="O83" s="272"/>
      <c r="P83" s="272">
        <v>1.11E-2</v>
      </c>
      <c r="Q83" s="318"/>
    </row>
    <row r="84" spans="1:20" ht="14.1" customHeight="1" x14ac:dyDescent="0.2">
      <c r="A84" s="282">
        <v>51</v>
      </c>
      <c r="B84" s="295" t="s">
        <v>15</v>
      </c>
      <c r="C84" s="45"/>
      <c r="D84" s="537">
        <f>Produksi!F78-Stok!L77+'Impor_Pangan Masuk'!F77-'Ekspor_Pangan Keluar'!F77</f>
        <v>79</v>
      </c>
      <c r="E84" s="538"/>
      <c r="F84" s="538"/>
      <c r="G84" s="538"/>
      <c r="H84" s="537">
        <f t="shared" si="8"/>
        <v>0.87690000000000001</v>
      </c>
      <c r="I84" s="538"/>
      <c r="J84" s="537">
        <f t="shared" si="10"/>
        <v>78.123099999999994</v>
      </c>
      <c r="K84" s="438">
        <f t="shared" si="9"/>
        <v>79</v>
      </c>
      <c r="L84" s="440"/>
      <c r="M84" s="269"/>
      <c r="N84" s="272"/>
      <c r="O84" s="272"/>
      <c r="P84" s="270">
        <v>1.11E-2</v>
      </c>
      <c r="Q84" s="318"/>
    </row>
    <row r="85" spans="1:20" ht="14.1" customHeight="1" x14ac:dyDescent="0.2">
      <c r="A85" s="282">
        <v>52</v>
      </c>
      <c r="B85" s="311" t="s">
        <v>16</v>
      </c>
      <c r="C85" s="45"/>
      <c r="D85" s="537">
        <f>Produksi!F79-Stok!L78+'Impor_Pangan Masuk'!F78-'Ekspor_Pangan Keluar'!F78</f>
        <v>125</v>
      </c>
      <c r="E85" s="538"/>
      <c r="F85" s="538"/>
      <c r="G85" s="538"/>
      <c r="H85" s="537">
        <f t="shared" si="8"/>
        <v>1.3875</v>
      </c>
      <c r="I85" s="538"/>
      <c r="J85" s="537">
        <f t="shared" si="10"/>
        <v>123.6125</v>
      </c>
      <c r="K85" s="438">
        <f t="shared" si="9"/>
        <v>125</v>
      </c>
      <c r="L85" s="440"/>
      <c r="M85" s="269"/>
      <c r="N85" s="321"/>
      <c r="O85" s="270"/>
      <c r="P85" s="270">
        <v>1.11E-2</v>
      </c>
      <c r="Q85" s="318"/>
    </row>
    <row r="86" spans="1:20" ht="14.1" customHeight="1" x14ac:dyDescent="0.2">
      <c r="A86" s="282">
        <v>53</v>
      </c>
      <c r="B86" s="311" t="s">
        <v>17</v>
      </c>
      <c r="C86" s="45"/>
      <c r="D86" s="537">
        <f>Produksi!F80-Stok!L79+'Impor_Pangan Masuk'!F79-'Ekspor_Pangan Keluar'!F79</f>
        <v>0</v>
      </c>
      <c r="E86" s="538"/>
      <c r="F86" s="538"/>
      <c r="G86" s="538"/>
      <c r="H86" s="537">
        <f t="shared" si="8"/>
        <v>0</v>
      </c>
      <c r="I86" s="538"/>
      <c r="J86" s="537">
        <f t="shared" si="10"/>
        <v>0</v>
      </c>
      <c r="K86" s="438">
        <f t="shared" si="9"/>
        <v>0</v>
      </c>
      <c r="L86" s="440"/>
      <c r="M86" s="269"/>
      <c r="N86" s="270"/>
      <c r="O86" s="270"/>
      <c r="P86" s="270">
        <v>1.11E-2</v>
      </c>
      <c r="Q86" s="318"/>
    </row>
    <row r="87" spans="1:20" ht="14.1" customHeight="1" x14ac:dyDescent="0.2">
      <c r="A87" s="282">
        <v>54</v>
      </c>
      <c r="B87" s="295" t="s">
        <v>18</v>
      </c>
      <c r="C87" s="45"/>
      <c r="D87" s="537">
        <f>Produksi!F81-Stok!L80+'Impor_Pangan Masuk'!F80-'Ekspor_Pangan Keluar'!F80</f>
        <v>382.00386447332943</v>
      </c>
      <c r="E87" s="538"/>
      <c r="F87" s="538"/>
      <c r="G87" s="538"/>
      <c r="H87" s="537">
        <f t="shared" si="8"/>
        <v>4.2402428956539566</v>
      </c>
      <c r="I87" s="538"/>
      <c r="J87" s="537">
        <f t="shared" si="10"/>
        <v>377.76362157767545</v>
      </c>
      <c r="K87" s="438">
        <f t="shared" si="9"/>
        <v>382.00386447332943</v>
      </c>
      <c r="L87" s="440"/>
      <c r="M87" s="269"/>
      <c r="N87" s="270"/>
      <c r="O87" s="270"/>
      <c r="P87" s="270">
        <v>1.11E-2</v>
      </c>
      <c r="Q87" s="318"/>
    </row>
    <row r="88" spans="1:20" ht="14.1" customHeight="1" x14ac:dyDescent="0.2">
      <c r="A88" s="282"/>
      <c r="B88" s="288"/>
      <c r="C88" s="293"/>
      <c r="D88" s="539"/>
      <c r="E88" s="538"/>
      <c r="F88" s="539"/>
      <c r="G88" s="539"/>
      <c r="H88" s="539"/>
      <c r="I88" s="539"/>
      <c r="J88" s="539"/>
      <c r="K88" s="438">
        <f t="shared" si="9"/>
        <v>0</v>
      </c>
      <c r="L88" s="440"/>
      <c r="M88" s="406"/>
      <c r="N88" s="407"/>
      <c r="O88" s="407"/>
      <c r="P88" s="407"/>
      <c r="Q88" s="408"/>
      <c r="T88" s="258"/>
    </row>
    <row r="89" spans="1:20" ht="14.1" customHeight="1" x14ac:dyDescent="0.2">
      <c r="A89" s="295" t="s">
        <v>19</v>
      </c>
      <c r="B89" s="295"/>
      <c r="C89" s="282"/>
      <c r="D89" s="539"/>
      <c r="E89" s="538"/>
      <c r="F89" s="539"/>
      <c r="G89" s="539"/>
      <c r="H89" s="539"/>
      <c r="I89" s="539"/>
      <c r="J89" s="539"/>
      <c r="K89" s="438">
        <f t="shared" si="9"/>
        <v>0</v>
      </c>
      <c r="L89" s="440"/>
      <c r="M89" s="406"/>
      <c r="N89" s="407"/>
      <c r="O89" s="407"/>
      <c r="P89" s="407"/>
      <c r="Q89" s="408"/>
      <c r="T89" s="258"/>
    </row>
    <row r="90" spans="1:20" ht="14.1" customHeight="1" x14ac:dyDescent="0.2">
      <c r="A90" s="282">
        <v>55</v>
      </c>
      <c r="B90" s="288" t="s">
        <v>451</v>
      </c>
      <c r="C90" s="45"/>
      <c r="D90" s="537">
        <f>Produksi!F84-Stok!L83+'Impor_Pangan Masuk'!F83-'Ekspor_Pangan Keluar'!F83</f>
        <v>1465.3950400000001</v>
      </c>
      <c r="E90" s="538"/>
      <c r="F90" s="537">
        <f>R90*N90</f>
        <v>0</v>
      </c>
      <c r="G90" s="538"/>
      <c r="H90" s="537">
        <f t="shared" ref="H90:H122" si="11">D90*P90</f>
        <v>31.799072368000004</v>
      </c>
      <c r="I90" s="538"/>
      <c r="J90" s="537">
        <f t="shared" si="10"/>
        <v>1433.5959676320001</v>
      </c>
      <c r="K90" s="438">
        <f t="shared" si="9"/>
        <v>1465.3950400000001</v>
      </c>
      <c r="L90" s="440"/>
      <c r="M90" s="271"/>
      <c r="N90" s="271">
        <f>2.5*0.6584</f>
        <v>1.6459999999999999</v>
      </c>
      <c r="O90" s="270"/>
      <c r="P90" s="270">
        <v>2.1700000000000001E-2</v>
      </c>
      <c r="Q90" s="318"/>
      <c r="R90" s="323"/>
      <c r="S90" s="323"/>
      <c r="T90" s="258"/>
    </row>
    <row r="91" spans="1:20" ht="14.1" customHeight="1" x14ac:dyDescent="0.2">
      <c r="A91" s="282">
        <v>56</v>
      </c>
      <c r="B91" s="295" t="s">
        <v>467</v>
      </c>
      <c r="C91" s="45"/>
      <c r="D91" s="537">
        <f>Produksi!F85-Stok!L84+'Impor_Pangan Masuk'!F84-'Ekspor_Pangan Keluar'!F84</f>
        <v>430</v>
      </c>
      <c r="E91" s="538"/>
      <c r="F91" s="537">
        <f t="shared" ref="F91" si="12">D91*N91</f>
        <v>1.0319999999999998</v>
      </c>
      <c r="G91" s="538"/>
      <c r="H91" s="537">
        <f t="shared" ref="H91:H92" si="13">D91*P91</f>
        <v>8.6000000000000007E-2</v>
      </c>
      <c r="I91" s="538"/>
      <c r="J91" s="537">
        <f t="shared" ref="J91:J92" si="14">D91-E91-F91-G91-H91-I91</f>
        <v>428.88200000000001</v>
      </c>
      <c r="K91" s="438">
        <f t="shared" si="9"/>
        <v>430</v>
      </c>
      <c r="L91" s="440"/>
      <c r="M91" s="269"/>
      <c r="N91" s="271">
        <v>2.3999999999999998E-3</v>
      </c>
      <c r="O91" s="270"/>
      <c r="P91" s="270">
        <v>2.0000000000000001E-4</v>
      </c>
      <c r="Q91" s="318"/>
      <c r="R91" s="323"/>
      <c r="S91" s="323"/>
      <c r="T91" s="258"/>
    </row>
    <row r="92" spans="1:20" ht="14.1" customHeight="1" x14ac:dyDescent="0.2">
      <c r="A92" s="282">
        <v>57</v>
      </c>
      <c r="B92" s="295" t="s">
        <v>27</v>
      </c>
      <c r="C92" s="45"/>
      <c r="D92" s="537">
        <f>Produksi!F86-Stok!L85+'Impor_Pangan Masuk'!F87-'Ekspor_Pangan Keluar'!F87</f>
        <v>0</v>
      </c>
      <c r="E92" s="538"/>
      <c r="F92" s="538"/>
      <c r="G92" s="538"/>
      <c r="H92" s="537">
        <f t="shared" si="13"/>
        <v>0</v>
      </c>
      <c r="I92" s="538"/>
      <c r="J92" s="537">
        <f t="shared" si="14"/>
        <v>0</v>
      </c>
      <c r="K92" s="438">
        <f t="shared" si="9"/>
        <v>0</v>
      </c>
      <c r="L92" s="440"/>
      <c r="M92" s="269"/>
      <c r="N92" s="271"/>
      <c r="O92" s="270"/>
      <c r="P92" s="270">
        <v>2.41E-2</v>
      </c>
      <c r="Q92" s="318"/>
      <c r="T92" s="258"/>
    </row>
    <row r="93" spans="1:20" ht="14.1" customHeight="1" x14ac:dyDescent="0.2">
      <c r="A93" s="282">
        <v>58</v>
      </c>
      <c r="B93" s="295" t="s">
        <v>452</v>
      </c>
      <c r="C93" s="45"/>
      <c r="D93" s="537">
        <f>Produksi!F87-Stok!L86+'Impor_Pangan Masuk'!F88-'Ekspor_Pangan Keluar'!F88</f>
        <v>7.4</v>
      </c>
      <c r="E93" s="538"/>
      <c r="F93" s="537">
        <f>D93*N93</f>
        <v>5.2540000000000003E-2</v>
      </c>
      <c r="G93" s="538"/>
      <c r="H93" s="537">
        <f t="shared" si="11"/>
        <v>0.12580000000000002</v>
      </c>
      <c r="I93" s="538"/>
      <c r="J93" s="537">
        <f t="shared" si="10"/>
        <v>7.2216600000000009</v>
      </c>
      <c r="K93" s="438">
        <f t="shared" si="9"/>
        <v>7.4000000000000012</v>
      </c>
      <c r="L93" s="440"/>
      <c r="M93" s="271"/>
      <c r="N93" s="271">
        <v>7.1000000000000004E-3</v>
      </c>
      <c r="O93" s="270"/>
      <c r="P93" s="270">
        <v>1.7000000000000001E-2</v>
      </c>
      <c r="Q93" s="318"/>
      <c r="T93" s="258"/>
    </row>
    <row r="94" spans="1:20" s="52" customFormat="1" ht="14.1" customHeight="1" x14ac:dyDescent="0.2">
      <c r="A94" s="282">
        <v>59</v>
      </c>
      <c r="B94" s="288" t="s">
        <v>453</v>
      </c>
      <c r="C94" s="45"/>
      <c r="D94" s="537">
        <f>Produksi!F88-Stok!L87+'Impor_Pangan Masuk'!F89-'Ekspor_Pangan Keluar'!F89</f>
        <v>128</v>
      </c>
      <c r="E94" s="538"/>
      <c r="F94" s="537">
        <f>D94*N94</f>
        <v>3.6736</v>
      </c>
      <c r="G94" s="538"/>
      <c r="H94" s="537">
        <f t="shared" si="11"/>
        <v>2.5600000000000001E-2</v>
      </c>
      <c r="I94" s="538"/>
      <c r="J94" s="537">
        <f t="shared" si="10"/>
        <v>124.30080000000001</v>
      </c>
      <c r="K94" s="438">
        <f t="shared" si="9"/>
        <v>128</v>
      </c>
      <c r="L94" s="440"/>
      <c r="M94" s="271"/>
      <c r="N94" s="271">
        <v>2.87E-2</v>
      </c>
      <c r="O94" s="270"/>
      <c r="P94" s="270">
        <v>2.0000000000000001E-4</v>
      </c>
      <c r="Q94" s="318"/>
      <c r="T94" s="258"/>
    </row>
    <row r="95" spans="1:20" s="52" customFormat="1" ht="14.1" customHeight="1" x14ac:dyDescent="0.2">
      <c r="A95" s="282">
        <v>60</v>
      </c>
      <c r="B95" s="288" t="s">
        <v>454</v>
      </c>
      <c r="C95" s="45"/>
      <c r="D95" s="537">
        <f>Produksi!F89-Stok!L88+'Impor_Pangan Masuk'!F90-'Ekspor_Pangan Keluar'!F90</f>
        <v>529.62480858847243</v>
      </c>
      <c r="E95" s="538"/>
      <c r="F95" s="537">
        <f>D95*N95</f>
        <v>2.330349157789279</v>
      </c>
      <c r="G95" s="538"/>
      <c r="H95" s="537">
        <f t="shared" si="11"/>
        <v>10.433608729192906</v>
      </c>
      <c r="I95" s="538"/>
      <c r="J95" s="537">
        <f t="shared" si="10"/>
        <v>516.86085070149022</v>
      </c>
      <c r="K95" s="438">
        <f t="shared" si="9"/>
        <v>529.62480858847243</v>
      </c>
      <c r="L95" s="440"/>
      <c r="M95" s="271"/>
      <c r="N95" s="271">
        <v>4.4000000000000003E-3</v>
      </c>
      <c r="O95" s="270"/>
      <c r="P95" s="270">
        <v>1.9699999999999999E-2</v>
      </c>
      <c r="Q95" s="318"/>
      <c r="T95" s="258"/>
    </row>
    <row r="96" spans="1:20" s="52" customFormat="1" ht="14.1" customHeight="1" x14ac:dyDescent="0.2">
      <c r="A96" s="282">
        <v>61</v>
      </c>
      <c r="B96" s="288" t="s">
        <v>455</v>
      </c>
      <c r="C96" s="45"/>
      <c r="D96" s="537">
        <f>Produksi!F90-Stok!L89+'Impor_Pangan Masuk'!F91-'Ekspor_Pangan Keluar'!F91</f>
        <v>1745</v>
      </c>
      <c r="E96" s="538"/>
      <c r="F96" s="537">
        <f>D96*N96</f>
        <v>20.765499999999999</v>
      </c>
      <c r="G96" s="538"/>
      <c r="H96" s="537">
        <f t="shared" si="11"/>
        <v>19.718499999999999</v>
      </c>
      <c r="I96" s="538"/>
      <c r="J96" s="537">
        <f t="shared" si="10"/>
        <v>1704.5160000000001</v>
      </c>
      <c r="K96" s="438">
        <f t="shared" si="9"/>
        <v>1745</v>
      </c>
      <c r="L96" s="440"/>
      <c r="M96" s="271"/>
      <c r="N96" s="271">
        <v>1.1899999999999999E-2</v>
      </c>
      <c r="O96" s="270"/>
      <c r="P96" s="270">
        <v>1.1299999999999999E-2</v>
      </c>
      <c r="Q96" s="318"/>
      <c r="T96" s="258"/>
    </row>
    <row r="97" spans="1:20" ht="14.1" customHeight="1" x14ac:dyDescent="0.2">
      <c r="A97" s="282">
        <v>62</v>
      </c>
      <c r="B97" s="295" t="s">
        <v>456</v>
      </c>
      <c r="C97" s="45"/>
      <c r="D97" s="537">
        <f>Produksi!F91-Stok!L90+'Impor_Pangan Masuk'!F92-'Ekspor_Pangan Keluar'!F92</f>
        <v>467.37101379105854</v>
      </c>
      <c r="E97" s="538"/>
      <c r="F97" s="538"/>
      <c r="G97" s="538"/>
      <c r="H97" s="537">
        <f t="shared" si="11"/>
        <v>11.26364143236451</v>
      </c>
      <c r="I97" s="538"/>
      <c r="J97" s="537">
        <f t="shared" si="10"/>
        <v>456.10737235869402</v>
      </c>
      <c r="K97" s="438">
        <f t="shared" si="9"/>
        <v>467.37101379105854</v>
      </c>
      <c r="L97" s="440"/>
      <c r="M97" s="271"/>
      <c r="N97" s="271">
        <v>0</v>
      </c>
      <c r="O97" s="270"/>
      <c r="P97" s="270">
        <v>2.41E-2</v>
      </c>
      <c r="Q97" s="318"/>
      <c r="T97" s="258"/>
    </row>
    <row r="98" spans="1:20" ht="14.1" customHeight="1" x14ac:dyDescent="0.2">
      <c r="A98" s="282">
        <v>63</v>
      </c>
      <c r="B98" s="295" t="s">
        <v>457</v>
      </c>
      <c r="C98" s="45"/>
      <c r="D98" s="537">
        <f>Produksi!F92-Stok!L91+'Impor_Pangan Masuk'!F93-'Ekspor_Pangan Keluar'!F93</f>
        <v>1329</v>
      </c>
      <c r="E98" s="538"/>
      <c r="F98" s="537">
        <f>D98*N98</f>
        <v>9.4359000000000002</v>
      </c>
      <c r="G98" s="538"/>
      <c r="H98" s="537">
        <f t="shared" si="11"/>
        <v>22.460099999999997</v>
      </c>
      <c r="I98" s="538"/>
      <c r="J98" s="537">
        <f t="shared" si="10"/>
        <v>1297.104</v>
      </c>
      <c r="K98" s="438">
        <f t="shared" si="9"/>
        <v>1329</v>
      </c>
      <c r="L98" s="440"/>
      <c r="M98" s="271"/>
      <c r="N98" s="271">
        <v>7.0999999999999995E-3</v>
      </c>
      <c r="O98" s="270"/>
      <c r="P98" s="270">
        <v>1.6899999999999998E-2</v>
      </c>
      <c r="Q98" s="318"/>
      <c r="T98" s="258"/>
    </row>
    <row r="99" spans="1:20" ht="14.1" customHeight="1" x14ac:dyDescent="0.2">
      <c r="A99" s="282">
        <v>64</v>
      </c>
      <c r="B99" s="295" t="s">
        <v>458</v>
      </c>
      <c r="C99" s="45"/>
      <c r="D99" s="537">
        <f>Produksi!F93-Stok!L92+'Impor_Pangan Masuk'!F94-'Ekspor_Pangan Keluar'!F94</f>
        <v>440.85614403821103</v>
      </c>
      <c r="E99" s="538"/>
      <c r="F99" s="538"/>
      <c r="G99" s="538"/>
      <c r="H99" s="537">
        <f t="shared" si="11"/>
        <v>10.624633071320886</v>
      </c>
      <c r="I99" s="538"/>
      <c r="J99" s="537">
        <f t="shared" si="10"/>
        <v>430.23151096689014</v>
      </c>
      <c r="K99" s="438">
        <f t="shared" si="9"/>
        <v>440.85614403821103</v>
      </c>
      <c r="L99" s="440"/>
      <c r="M99" s="271"/>
      <c r="N99" s="271">
        <v>0</v>
      </c>
      <c r="O99" s="270"/>
      <c r="P99" s="270">
        <v>2.41E-2</v>
      </c>
      <c r="Q99" s="318"/>
      <c r="T99" s="258"/>
    </row>
    <row r="100" spans="1:20" ht="14.1" customHeight="1" x14ac:dyDescent="0.2">
      <c r="A100" s="282">
        <v>65</v>
      </c>
      <c r="B100" s="295" t="s">
        <v>632</v>
      </c>
      <c r="C100" s="45"/>
      <c r="D100" s="537">
        <f>Produksi!F94-Stok!L93+'Impor_Pangan Masuk'!F95-'Ekspor_Pangan Keluar'!F95</f>
        <v>2498.4</v>
      </c>
      <c r="E100" s="538"/>
      <c r="F100" s="537">
        <f>D100*N100</f>
        <v>17.73864</v>
      </c>
      <c r="G100" s="538"/>
      <c r="H100" s="537">
        <f t="shared" si="11"/>
        <v>38.725200000000001</v>
      </c>
      <c r="I100" s="538"/>
      <c r="J100" s="537">
        <f t="shared" si="10"/>
        <v>2441.9361600000002</v>
      </c>
      <c r="K100" s="438">
        <f t="shared" si="9"/>
        <v>2498.4</v>
      </c>
      <c r="L100" s="440"/>
      <c r="M100" s="271"/>
      <c r="N100" s="271">
        <v>7.0999999999999995E-3</v>
      </c>
      <c r="O100" s="270"/>
      <c r="P100" s="270">
        <v>1.55E-2</v>
      </c>
      <c r="Q100" s="318"/>
      <c r="T100" s="258"/>
    </row>
    <row r="101" spans="1:20" ht="14.1" customHeight="1" x14ac:dyDescent="0.2">
      <c r="A101" s="282">
        <v>66</v>
      </c>
      <c r="B101" s="295" t="s">
        <v>20</v>
      </c>
      <c r="C101" s="45"/>
      <c r="D101" s="537">
        <f>Produksi!F95-Stok!L94+'Impor_Pangan Masuk'!F96-'Ekspor_Pangan Keluar'!F96</f>
        <v>573.70000000000005</v>
      </c>
      <c r="E101" s="538"/>
      <c r="F101" s="537">
        <f>D101*N101</f>
        <v>4.0732699999999999</v>
      </c>
      <c r="G101" s="538"/>
      <c r="H101" s="537">
        <f t="shared" si="11"/>
        <v>9.8101717005369373</v>
      </c>
      <c r="I101" s="538"/>
      <c r="J101" s="537">
        <f t="shared" si="10"/>
        <v>559.81655829946317</v>
      </c>
      <c r="K101" s="438">
        <f t="shared" si="9"/>
        <v>573.70000000000016</v>
      </c>
      <c r="L101" s="440"/>
      <c r="M101" s="271"/>
      <c r="N101" s="271">
        <v>7.0999999999999995E-3</v>
      </c>
      <c r="O101" s="270"/>
      <c r="P101" s="270">
        <v>1.7099828657027954E-2</v>
      </c>
      <c r="Q101" s="318"/>
      <c r="T101" s="258"/>
    </row>
    <row r="102" spans="1:20" ht="14.1" customHeight="1" x14ac:dyDescent="0.2">
      <c r="A102" s="282">
        <v>67</v>
      </c>
      <c r="B102" s="295" t="s">
        <v>460</v>
      </c>
      <c r="C102" s="45"/>
      <c r="D102" s="537">
        <f>Produksi!F96-Stok!L95+'Impor_Pangan Masuk'!F97-'Ekspor_Pangan Keluar'!F97</f>
        <v>1084.9987879352141</v>
      </c>
      <c r="E102" s="538"/>
      <c r="F102" s="537">
        <f>D102*N102</f>
        <v>7.9204911519270631</v>
      </c>
      <c r="G102" s="538"/>
      <c r="H102" s="537">
        <f t="shared" si="11"/>
        <v>18.227979637311595</v>
      </c>
      <c r="I102" s="538"/>
      <c r="J102" s="537">
        <f t="shared" si="10"/>
        <v>1058.8503171459754</v>
      </c>
      <c r="K102" s="438">
        <f t="shared" si="9"/>
        <v>1084.9987879352141</v>
      </c>
      <c r="L102" s="440"/>
      <c r="M102" s="271"/>
      <c r="N102" s="271">
        <v>7.3000000000000001E-3</v>
      </c>
      <c r="O102" s="270"/>
      <c r="P102" s="270">
        <v>1.6799999999999999E-2</v>
      </c>
      <c r="Q102" s="318"/>
      <c r="T102" s="258"/>
    </row>
    <row r="103" spans="1:20" ht="14.1" customHeight="1" x14ac:dyDescent="0.2">
      <c r="A103" s="282">
        <v>68</v>
      </c>
      <c r="B103" s="291" t="s">
        <v>461</v>
      </c>
      <c r="C103" s="45"/>
      <c r="D103" s="537">
        <f>Produksi!F97-Stok!L96+'Impor_Pangan Masuk'!F98-'Ekspor_Pangan Keluar'!F98</f>
        <v>199.41200385185212</v>
      </c>
      <c r="E103" s="538"/>
      <c r="F103" s="538"/>
      <c r="G103" s="538"/>
      <c r="H103" s="537">
        <f t="shared" si="11"/>
        <v>4.8058292928296362</v>
      </c>
      <c r="I103" s="538"/>
      <c r="J103" s="537">
        <f t="shared" si="10"/>
        <v>194.60617455902249</v>
      </c>
      <c r="K103" s="438">
        <f t="shared" si="9"/>
        <v>199.41200385185212</v>
      </c>
      <c r="L103" s="440"/>
      <c r="M103" s="271"/>
      <c r="N103" s="271"/>
      <c r="O103" s="270"/>
      <c r="P103" s="270">
        <v>2.41E-2</v>
      </c>
      <c r="Q103" s="318"/>
      <c r="T103" s="258"/>
    </row>
    <row r="104" spans="1:20" ht="14.1" customHeight="1" x14ac:dyDescent="0.2">
      <c r="A104" s="282">
        <v>69</v>
      </c>
      <c r="B104" s="295" t="s">
        <v>577</v>
      </c>
      <c r="C104" s="45"/>
      <c r="D104" s="537">
        <f>Produksi!F98-Stok!L97+'Impor_Pangan Masuk'!F99-'Ekspor_Pangan Keluar'!F99</f>
        <v>0</v>
      </c>
      <c r="E104" s="538"/>
      <c r="F104" s="537">
        <f t="shared" ref="F104:F109" si="15">D104*N104</f>
        <v>0</v>
      </c>
      <c r="G104" s="538"/>
      <c r="H104" s="537">
        <f t="shared" si="11"/>
        <v>0</v>
      </c>
      <c r="I104" s="538"/>
      <c r="J104" s="537">
        <f t="shared" si="10"/>
        <v>0</v>
      </c>
      <c r="K104" s="438">
        <f t="shared" si="9"/>
        <v>0</v>
      </c>
      <c r="L104" s="440"/>
      <c r="M104" s="271"/>
      <c r="N104" s="271">
        <v>6.9999999999999993E-3</v>
      </c>
      <c r="O104" s="270"/>
      <c r="P104" s="270">
        <v>1.7100000000000001E-2</v>
      </c>
      <c r="Q104" s="318"/>
      <c r="T104" s="258"/>
    </row>
    <row r="105" spans="1:20" ht="14.1" customHeight="1" x14ac:dyDescent="0.2">
      <c r="A105" s="282">
        <v>70</v>
      </c>
      <c r="B105" s="295" t="s">
        <v>462</v>
      </c>
      <c r="C105" s="45"/>
      <c r="D105" s="537">
        <f>Produksi!F99-Stok!L98+'Impor_Pangan Masuk'!F100-'Ekspor_Pangan Keluar'!F100</f>
        <v>1151.1098900807685</v>
      </c>
      <c r="E105" s="538"/>
      <c r="F105" s="537">
        <f t="shared" si="15"/>
        <v>6.676437362468457</v>
      </c>
      <c r="G105" s="538"/>
      <c r="H105" s="537">
        <f t="shared" si="11"/>
        <v>21.065310988478064</v>
      </c>
      <c r="I105" s="538"/>
      <c r="J105" s="537">
        <f t="shared" si="10"/>
        <v>1123.3681417298219</v>
      </c>
      <c r="K105" s="438">
        <f t="shared" si="9"/>
        <v>1151.1098900807683</v>
      </c>
      <c r="L105" s="440"/>
      <c r="M105" s="271"/>
      <c r="N105" s="271">
        <v>5.7999999999999996E-3</v>
      </c>
      <c r="O105" s="270"/>
      <c r="P105" s="270">
        <v>1.83E-2</v>
      </c>
      <c r="Q105" s="318"/>
      <c r="T105" s="258"/>
    </row>
    <row r="106" spans="1:20" ht="14.1" customHeight="1" x14ac:dyDescent="0.2">
      <c r="A106" s="282">
        <v>71</v>
      </c>
      <c r="B106" s="295" t="s">
        <v>463</v>
      </c>
      <c r="C106" s="45"/>
      <c r="D106" s="537">
        <f>Produksi!F100-Stok!L99+'Impor_Pangan Masuk'!F101-'Ekspor_Pangan Keluar'!F101</f>
        <v>1787</v>
      </c>
      <c r="E106" s="538"/>
      <c r="F106" s="537">
        <f t="shared" si="15"/>
        <v>6.9693000000000005</v>
      </c>
      <c r="G106" s="538"/>
      <c r="H106" s="537">
        <f t="shared" si="11"/>
        <v>36.0974</v>
      </c>
      <c r="I106" s="538"/>
      <c r="J106" s="537">
        <f t="shared" si="10"/>
        <v>1743.9332999999999</v>
      </c>
      <c r="K106" s="438">
        <f t="shared" si="9"/>
        <v>1787</v>
      </c>
      <c r="L106" s="440"/>
      <c r="M106" s="271"/>
      <c r="N106" s="271">
        <v>3.9000000000000003E-3</v>
      </c>
      <c r="O106" s="270"/>
      <c r="P106" s="270">
        <v>2.0199999999999999E-2</v>
      </c>
      <c r="Q106" s="318"/>
      <c r="T106" s="258"/>
    </row>
    <row r="107" spans="1:20" s="52" customFormat="1" ht="14.1" customHeight="1" x14ac:dyDescent="0.2">
      <c r="A107" s="282">
        <v>72</v>
      </c>
      <c r="B107" s="295" t="s">
        <v>464</v>
      </c>
      <c r="C107" s="45"/>
      <c r="D107" s="537">
        <f>Produksi!F101-Stok!L100+'Impor_Pangan Masuk'!F102-'Ekspor_Pangan Keluar'!F102</f>
        <v>0</v>
      </c>
      <c r="E107" s="538"/>
      <c r="F107" s="537">
        <f t="shared" si="15"/>
        <v>0</v>
      </c>
      <c r="G107" s="538"/>
      <c r="H107" s="537">
        <f t="shared" si="11"/>
        <v>0</v>
      </c>
      <c r="I107" s="538"/>
      <c r="J107" s="537">
        <f t="shared" si="10"/>
        <v>0</v>
      </c>
      <c r="K107" s="438">
        <f t="shared" ref="K107:K136" si="16">E107+F107+G107+H107+I107+J107</f>
        <v>0</v>
      </c>
      <c r="L107" s="440"/>
      <c r="M107" s="271"/>
      <c r="N107" s="269">
        <v>4.3E-3</v>
      </c>
      <c r="O107" s="273"/>
      <c r="P107" s="273">
        <v>1.9799999999999998E-2</v>
      </c>
      <c r="Q107" s="318"/>
      <c r="T107" s="258"/>
    </row>
    <row r="108" spans="1:20" s="52" customFormat="1" ht="14.1" customHeight="1" x14ac:dyDescent="0.2">
      <c r="A108" s="282">
        <v>73</v>
      </c>
      <c r="B108" s="295" t="s">
        <v>465</v>
      </c>
      <c r="C108" s="45"/>
      <c r="D108" s="537">
        <f>Produksi!F102-Stok!L101+'Impor_Pangan Masuk'!F103-'Ekspor_Pangan Keluar'!F103</f>
        <v>248.16902064286708</v>
      </c>
      <c r="E108" s="538"/>
      <c r="F108" s="537">
        <f t="shared" si="15"/>
        <v>1.0919436908286153</v>
      </c>
      <c r="G108" s="538"/>
      <c r="H108" s="537">
        <f t="shared" si="11"/>
        <v>4.8889297066644808</v>
      </c>
      <c r="I108" s="538"/>
      <c r="J108" s="537">
        <f t="shared" si="10"/>
        <v>242.18814724537398</v>
      </c>
      <c r="K108" s="438">
        <f t="shared" si="16"/>
        <v>248.16902064286708</v>
      </c>
      <c r="L108" s="440"/>
      <c r="M108" s="271"/>
      <c r="N108" s="269">
        <v>4.4000000000000003E-3</v>
      </c>
      <c r="O108" s="273"/>
      <c r="P108" s="273">
        <v>1.9699999999999999E-2</v>
      </c>
      <c r="Q108" s="318"/>
      <c r="T108" s="258"/>
    </row>
    <row r="109" spans="1:20" s="52" customFormat="1" ht="14.1" customHeight="1" x14ac:dyDescent="0.2">
      <c r="A109" s="282">
        <v>74</v>
      </c>
      <c r="B109" s="295" t="s">
        <v>466</v>
      </c>
      <c r="C109" s="45"/>
      <c r="D109" s="537">
        <f>Produksi!F103-Stok!L102+'Impor_Pangan Masuk'!F104-'Ekspor_Pangan Keluar'!F104</f>
        <v>965.93099457634594</v>
      </c>
      <c r="E109" s="538"/>
      <c r="F109" s="537">
        <f t="shared" si="15"/>
        <v>4.2500963761359225</v>
      </c>
      <c r="G109" s="538"/>
      <c r="H109" s="537">
        <f t="shared" si="11"/>
        <v>19.028840593154015</v>
      </c>
      <c r="I109" s="538"/>
      <c r="J109" s="537">
        <f t="shared" si="10"/>
        <v>942.65205760705601</v>
      </c>
      <c r="K109" s="438">
        <f t="shared" si="16"/>
        <v>965.93099457634594</v>
      </c>
      <c r="L109" s="440"/>
      <c r="M109" s="271"/>
      <c r="N109" s="269">
        <v>4.4000000000000003E-3</v>
      </c>
      <c r="O109" s="273"/>
      <c r="P109" s="273">
        <v>1.9699999999999999E-2</v>
      </c>
      <c r="Q109" s="318"/>
      <c r="T109" s="258"/>
    </row>
    <row r="110" spans="1:20" ht="14.1" customHeight="1" x14ac:dyDescent="0.2">
      <c r="A110" s="282">
        <v>75</v>
      </c>
      <c r="B110" s="295" t="s">
        <v>468</v>
      </c>
      <c r="C110" s="45"/>
      <c r="D110" s="537">
        <f>Produksi!F104-Stok!L103+'Impor_Pangan Masuk'!F105-'Ekspor_Pangan Keluar'!F105</f>
        <v>0</v>
      </c>
      <c r="E110" s="538"/>
      <c r="F110" s="538"/>
      <c r="G110" s="538"/>
      <c r="H110" s="537">
        <f t="shared" si="11"/>
        <v>0</v>
      </c>
      <c r="I110" s="538"/>
      <c r="J110" s="537">
        <f t="shared" si="10"/>
        <v>0</v>
      </c>
      <c r="K110" s="438">
        <f t="shared" si="16"/>
        <v>0</v>
      </c>
      <c r="L110" s="440"/>
      <c r="M110" s="269"/>
      <c r="N110" s="271"/>
      <c r="O110" s="270"/>
      <c r="P110" s="272">
        <v>2.41E-2</v>
      </c>
      <c r="Q110" s="318"/>
      <c r="T110" s="258"/>
    </row>
    <row r="111" spans="1:20" ht="14.1" customHeight="1" x14ac:dyDescent="0.2">
      <c r="A111" s="282">
        <v>76</v>
      </c>
      <c r="B111" s="295" t="s">
        <v>469</v>
      </c>
      <c r="C111" s="45"/>
      <c r="D111" s="537">
        <f>Produksi!F105-Stok!L104+'Impor_Pangan Masuk'!F106-'Ekspor_Pangan Keluar'!F106</f>
        <v>0</v>
      </c>
      <c r="E111" s="538"/>
      <c r="F111" s="538"/>
      <c r="G111" s="538"/>
      <c r="H111" s="537">
        <f t="shared" si="11"/>
        <v>0</v>
      </c>
      <c r="I111" s="538"/>
      <c r="J111" s="537">
        <f t="shared" si="10"/>
        <v>0</v>
      </c>
      <c r="K111" s="438">
        <f t="shared" si="16"/>
        <v>0</v>
      </c>
      <c r="L111" s="440"/>
      <c r="M111" s="269"/>
      <c r="N111" s="271"/>
      <c r="O111" s="270"/>
      <c r="P111" s="272">
        <v>2.41E-2</v>
      </c>
      <c r="Q111" s="318"/>
      <c r="T111" s="258"/>
    </row>
    <row r="112" spans="1:20" ht="14.1" customHeight="1" x14ac:dyDescent="0.2">
      <c r="A112" s="282">
        <v>77</v>
      </c>
      <c r="B112" s="295" t="s">
        <v>21</v>
      </c>
      <c r="C112" s="45"/>
      <c r="D112" s="537">
        <f>Produksi!F106-Stok!L105+'Impor_Pangan Masuk'!F107-'Ekspor_Pangan Keluar'!F107</f>
        <v>0</v>
      </c>
      <c r="E112" s="538"/>
      <c r="F112" s="538"/>
      <c r="G112" s="538"/>
      <c r="H112" s="537">
        <f t="shared" si="11"/>
        <v>0</v>
      </c>
      <c r="I112" s="538"/>
      <c r="J112" s="537">
        <f t="shared" si="10"/>
        <v>0</v>
      </c>
      <c r="K112" s="438">
        <f t="shared" si="16"/>
        <v>0</v>
      </c>
      <c r="L112" s="440"/>
      <c r="M112" s="271"/>
      <c r="N112" s="271"/>
      <c r="O112" s="270"/>
      <c r="P112" s="270">
        <v>2.41E-2</v>
      </c>
      <c r="Q112" s="318"/>
      <c r="T112" s="258"/>
    </row>
    <row r="113" spans="1:20" ht="14.1" customHeight="1" x14ac:dyDescent="0.2">
      <c r="A113" s="282">
        <v>78</v>
      </c>
      <c r="B113" s="295" t="s">
        <v>22</v>
      </c>
      <c r="C113" s="45"/>
      <c r="D113" s="537">
        <f>Produksi!F107-Stok!L106+'Impor_Pangan Masuk'!F108-'Ekspor_Pangan Keluar'!F108</f>
        <v>0</v>
      </c>
      <c r="E113" s="538"/>
      <c r="F113" s="538"/>
      <c r="G113" s="538"/>
      <c r="H113" s="537">
        <f t="shared" si="11"/>
        <v>0</v>
      </c>
      <c r="I113" s="538"/>
      <c r="J113" s="537">
        <f t="shared" si="10"/>
        <v>0</v>
      </c>
      <c r="K113" s="438">
        <f t="shared" si="16"/>
        <v>0</v>
      </c>
      <c r="L113" s="440"/>
      <c r="M113" s="271"/>
      <c r="N113" s="269"/>
      <c r="O113" s="272"/>
      <c r="P113" s="270">
        <v>2.41E-2</v>
      </c>
      <c r="Q113" s="318"/>
      <c r="T113" s="258"/>
    </row>
    <row r="114" spans="1:20" ht="14.1" customHeight="1" x14ac:dyDescent="0.2">
      <c r="A114" s="282">
        <v>79</v>
      </c>
      <c r="B114" s="295" t="s">
        <v>470</v>
      </c>
      <c r="C114" s="45"/>
      <c r="D114" s="537">
        <f>Produksi!F108-Stok!L107+'Impor_Pangan Masuk'!F109-'Ekspor_Pangan Keluar'!F109</f>
        <v>0</v>
      </c>
      <c r="E114" s="538"/>
      <c r="F114" s="538"/>
      <c r="G114" s="538"/>
      <c r="H114" s="537">
        <f t="shared" si="11"/>
        <v>0</v>
      </c>
      <c r="I114" s="538"/>
      <c r="J114" s="537">
        <f t="shared" si="10"/>
        <v>0</v>
      </c>
      <c r="K114" s="438">
        <f t="shared" si="16"/>
        <v>0</v>
      </c>
      <c r="L114" s="440"/>
      <c r="M114" s="271"/>
      <c r="N114" s="269"/>
      <c r="O114" s="272"/>
      <c r="P114" s="270">
        <v>2.41E-2</v>
      </c>
      <c r="Q114" s="318"/>
      <c r="T114" s="258"/>
    </row>
    <row r="115" spans="1:20" ht="14.1" customHeight="1" x14ac:dyDescent="0.2">
      <c r="A115" s="282">
        <v>80</v>
      </c>
      <c r="B115" s="295" t="s">
        <v>471</v>
      </c>
      <c r="C115" s="45"/>
      <c r="D115" s="537">
        <f>Produksi!F109-Stok!L108+'Impor_Pangan Masuk'!F110-'Ekspor_Pangan Keluar'!F110</f>
        <v>0</v>
      </c>
      <c r="E115" s="538"/>
      <c r="F115" s="538"/>
      <c r="G115" s="538"/>
      <c r="H115" s="537">
        <f t="shared" si="11"/>
        <v>0</v>
      </c>
      <c r="I115" s="538"/>
      <c r="J115" s="537">
        <f t="shared" si="10"/>
        <v>0</v>
      </c>
      <c r="K115" s="438">
        <f t="shared" si="16"/>
        <v>0</v>
      </c>
      <c r="L115" s="440"/>
      <c r="M115" s="271"/>
      <c r="N115" s="269"/>
      <c r="O115" s="272"/>
      <c r="P115" s="270">
        <v>2.41E-2</v>
      </c>
      <c r="Q115" s="318"/>
      <c r="T115" s="258"/>
    </row>
    <row r="116" spans="1:20" ht="14.1" customHeight="1" x14ac:dyDescent="0.2">
      <c r="A116" s="282">
        <v>81</v>
      </c>
      <c r="B116" s="295" t="s">
        <v>472</v>
      </c>
      <c r="C116" s="45"/>
      <c r="D116" s="537">
        <f>Produksi!F110-Stok!L109+'Impor_Pangan Masuk'!F111-'Ekspor_Pangan Keluar'!F111</f>
        <v>500</v>
      </c>
      <c r="E116" s="538"/>
      <c r="F116" s="538"/>
      <c r="G116" s="538"/>
      <c r="H116" s="537">
        <f t="shared" si="11"/>
        <v>12.05</v>
      </c>
      <c r="I116" s="538"/>
      <c r="J116" s="537">
        <f t="shared" si="10"/>
        <v>487.95</v>
      </c>
      <c r="K116" s="438">
        <f t="shared" si="16"/>
        <v>500</v>
      </c>
      <c r="L116" s="440"/>
      <c r="M116" s="269"/>
      <c r="N116" s="269"/>
      <c r="O116" s="272"/>
      <c r="P116" s="270">
        <v>2.41E-2</v>
      </c>
      <c r="Q116" s="318"/>
      <c r="T116" s="258"/>
    </row>
    <row r="117" spans="1:20" s="52" customFormat="1" ht="14.1" customHeight="1" x14ac:dyDescent="0.2">
      <c r="A117" s="282">
        <v>82</v>
      </c>
      <c r="B117" s="295" t="s">
        <v>473</v>
      </c>
      <c r="C117" s="45"/>
      <c r="D117" s="537">
        <f>Produksi!F111-Stok!L110+'Impor_Pangan Masuk'!F112-'Ekspor_Pangan Keluar'!F112</f>
        <v>0</v>
      </c>
      <c r="E117" s="538"/>
      <c r="F117" s="537">
        <f>D117*N117</f>
        <v>0</v>
      </c>
      <c r="G117" s="538"/>
      <c r="H117" s="537">
        <f t="shared" si="11"/>
        <v>0</v>
      </c>
      <c r="I117" s="538"/>
      <c r="J117" s="537">
        <f t="shared" si="10"/>
        <v>0</v>
      </c>
      <c r="K117" s="438">
        <f t="shared" si="16"/>
        <v>0</v>
      </c>
      <c r="L117" s="440"/>
      <c r="M117" s="269"/>
      <c r="N117" s="269">
        <v>6.4000000000000003E-3</v>
      </c>
      <c r="O117" s="273"/>
      <c r="P117" s="273">
        <v>1.77E-2</v>
      </c>
      <c r="Q117" s="318"/>
      <c r="T117" s="258"/>
    </row>
    <row r="118" spans="1:20" ht="14.1" customHeight="1" x14ac:dyDescent="0.2">
      <c r="A118" s="282">
        <v>83</v>
      </c>
      <c r="B118" s="295" t="s">
        <v>23</v>
      </c>
      <c r="C118" s="45"/>
      <c r="D118" s="537">
        <f>Produksi!F112-Stok!L111+'Impor_Pangan Masuk'!F113-'Ekspor_Pangan Keluar'!F113</f>
        <v>0</v>
      </c>
      <c r="E118" s="538"/>
      <c r="F118" s="538"/>
      <c r="G118" s="538"/>
      <c r="H118" s="537">
        <f t="shared" si="11"/>
        <v>0</v>
      </c>
      <c r="I118" s="538"/>
      <c r="J118" s="537">
        <f t="shared" si="10"/>
        <v>0</v>
      </c>
      <c r="K118" s="438">
        <f t="shared" si="16"/>
        <v>0</v>
      </c>
      <c r="L118" s="440"/>
      <c r="M118" s="269"/>
      <c r="N118" s="269"/>
      <c r="O118" s="272"/>
      <c r="P118" s="270">
        <v>2.41E-2</v>
      </c>
      <c r="Q118" s="318"/>
      <c r="T118" s="258"/>
    </row>
    <row r="119" spans="1:20" ht="14.1" customHeight="1" x14ac:dyDescent="0.2">
      <c r="A119" s="282">
        <v>84</v>
      </c>
      <c r="B119" s="295" t="s">
        <v>24</v>
      </c>
      <c r="C119" s="45"/>
      <c r="D119" s="537">
        <f>Produksi!F113-Stok!L112+'Impor_Pangan Masuk'!F114-'Ekspor_Pangan Keluar'!F114</f>
        <v>0</v>
      </c>
      <c r="E119" s="538"/>
      <c r="F119" s="538"/>
      <c r="G119" s="538"/>
      <c r="H119" s="537">
        <f t="shared" si="11"/>
        <v>0</v>
      </c>
      <c r="I119" s="538"/>
      <c r="J119" s="537">
        <f t="shared" si="10"/>
        <v>0</v>
      </c>
      <c r="K119" s="438">
        <f t="shared" si="16"/>
        <v>0</v>
      </c>
      <c r="L119" s="440"/>
      <c r="M119" s="269"/>
      <c r="N119" s="269"/>
      <c r="O119" s="272"/>
      <c r="P119" s="270">
        <v>2.41E-2</v>
      </c>
      <c r="Q119" s="318"/>
      <c r="T119" s="258"/>
    </row>
    <row r="120" spans="1:20" ht="14.1" customHeight="1" x14ac:dyDescent="0.2">
      <c r="A120" s="282">
        <v>85</v>
      </c>
      <c r="B120" s="295" t="s">
        <v>25</v>
      </c>
      <c r="C120" s="45"/>
      <c r="D120" s="537">
        <f>Produksi!F114-Stok!L113+'Impor_Pangan Masuk'!F115-'Ekspor_Pangan Keluar'!F115</f>
        <v>0</v>
      </c>
      <c r="E120" s="538"/>
      <c r="F120" s="538"/>
      <c r="G120" s="538"/>
      <c r="H120" s="537">
        <f t="shared" si="11"/>
        <v>0</v>
      </c>
      <c r="I120" s="538"/>
      <c r="J120" s="537">
        <f t="shared" si="10"/>
        <v>0</v>
      </c>
      <c r="K120" s="438">
        <f t="shared" si="16"/>
        <v>0</v>
      </c>
      <c r="L120" s="440"/>
      <c r="M120" s="269"/>
      <c r="N120" s="269"/>
      <c r="O120" s="272"/>
      <c r="P120" s="270">
        <v>2.41E-2</v>
      </c>
      <c r="Q120" s="318"/>
      <c r="T120" s="258"/>
    </row>
    <row r="121" spans="1:20" ht="14.1" customHeight="1" x14ac:dyDescent="0.2">
      <c r="A121" s="282">
        <v>86</v>
      </c>
      <c r="B121" s="295" t="s">
        <v>26</v>
      </c>
      <c r="C121" s="45"/>
      <c r="D121" s="537">
        <f>Produksi!F115-Stok!L114+'Impor_Pangan Masuk'!F116-'Ekspor_Pangan Keluar'!F116</f>
        <v>0</v>
      </c>
      <c r="E121" s="538"/>
      <c r="F121" s="538"/>
      <c r="G121" s="538"/>
      <c r="H121" s="537">
        <f t="shared" si="11"/>
        <v>0</v>
      </c>
      <c r="I121" s="538"/>
      <c r="J121" s="537">
        <f t="shared" si="10"/>
        <v>0</v>
      </c>
      <c r="K121" s="438">
        <f t="shared" si="16"/>
        <v>0</v>
      </c>
      <c r="L121" s="440"/>
      <c r="M121" s="269"/>
      <c r="N121" s="271"/>
      <c r="O121" s="270"/>
      <c r="P121" s="270">
        <v>2.41E-2</v>
      </c>
      <c r="Q121" s="318"/>
      <c r="T121" s="258"/>
    </row>
    <row r="122" spans="1:20" ht="14.1" customHeight="1" x14ac:dyDescent="0.2">
      <c r="A122" s="282">
        <v>87</v>
      </c>
      <c r="B122" s="288" t="s">
        <v>173</v>
      </c>
      <c r="C122" s="45"/>
      <c r="D122" s="537">
        <f>Produksi!F116-Stok!L115+'Impor_Pangan Masuk'!F117-'Ekspor_Pangan Keluar'!F117</f>
        <v>0</v>
      </c>
      <c r="E122" s="538"/>
      <c r="F122" s="538"/>
      <c r="G122" s="538"/>
      <c r="H122" s="537">
        <f t="shared" si="11"/>
        <v>0</v>
      </c>
      <c r="I122" s="538"/>
      <c r="J122" s="537">
        <f t="shared" si="10"/>
        <v>0</v>
      </c>
      <c r="K122" s="438">
        <f t="shared" si="16"/>
        <v>0</v>
      </c>
      <c r="L122" s="440"/>
      <c r="M122" s="269"/>
      <c r="N122" s="271"/>
      <c r="O122" s="270"/>
      <c r="P122" s="270">
        <v>2.41E-2</v>
      </c>
      <c r="Q122" s="318"/>
      <c r="T122" s="258"/>
    </row>
    <row r="123" spans="1:20" ht="14.1" customHeight="1" x14ac:dyDescent="0.2">
      <c r="A123" s="282"/>
      <c r="B123" s="288"/>
      <c r="C123" s="282"/>
      <c r="D123" s="539"/>
      <c r="E123" s="538"/>
      <c r="F123" s="539"/>
      <c r="G123" s="539"/>
      <c r="H123" s="539"/>
      <c r="I123" s="539"/>
      <c r="J123" s="539"/>
      <c r="K123" s="438">
        <f t="shared" si="16"/>
        <v>0</v>
      </c>
      <c r="L123" s="440"/>
      <c r="M123" s="406"/>
      <c r="N123" s="406"/>
      <c r="O123" s="407"/>
      <c r="P123" s="407"/>
      <c r="Q123" s="408"/>
      <c r="T123" s="258"/>
    </row>
    <row r="124" spans="1:20" ht="14.1" customHeight="1" x14ac:dyDescent="0.2">
      <c r="A124" s="295" t="s">
        <v>116</v>
      </c>
      <c r="B124" s="295"/>
      <c r="C124" s="282"/>
      <c r="D124" s="539"/>
      <c r="E124" s="538"/>
      <c r="F124" s="539"/>
      <c r="G124" s="539"/>
      <c r="H124" s="539"/>
      <c r="I124" s="539"/>
      <c r="J124" s="539"/>
      <c r="K124" s="438">
        <f t="shared" si="16"/>
        <v>0</v>
      </c>
      <c r="L124" s="440"/>
      <c r="M124" s="406"/>
      <c r="N124" s="406"/>
      <c r="O124" s="407"/>
      <c r="P124" s="407"/>
      <c r="Q124" s="408"/>
      <c r="T124" s="258"/>
    </row>
    <row r="125" spans="1:20" ht="14.1" customHeight="1" x14ac:dyDescent="0.2">
      <c r="A125" s="297">
        <v>88</v>
      </c>
      <c r="B125" s="288" t="s">
        <v>474</v>
      </c>
      <c r="C125" s="45"/>
      <c r="D125" s="537">
        <f>Produksi!F119-Stok!L118+'Impor_Pangan Masuk'!F120-'Ekspor_Pangan Keluar'!F120</f>
        <v>1795.0047144740035</v>
      </c>
      <c r="E125" s="538"/>
      <c r="F125" s="538"/>
      <c r="G125" s="538"/>
      <c r="H125" s="537">
        <f t="shared" ref="H125:H135" si="17">D125*P125</f>
        <v>1.4360037715792029</v>
      </c>
      <c r="I125" s="538"/>
      <c r="J125" s="537">
        <f t="shared" si="10"/>
        <v>1793.5687107024244</v>
      </c>
      <c r="K125" s="438">
        <f t="shared" si="16"/>
        <v>1795.0047144740035</v>
      </c>
      <c r="L125" s="440"/>
      <c r="M125" s="271"/>
      <c r="N125" s="271"/>
      <c r="O125" s="270"/>
      <c r="P125" s="270">
        <v>8.0000000000000004E-4</v>
      </c>
      <c r="Q125" s="318"/>
      <c r="T125" s="258"/>
    </row>
    <row r="126" spans="1:20" ht="14.1" customHeight="1" x14ac:dyDescent="0.2">
      <c r="A126" s="297">
        <v>89</v>
      </c>
      <c r="B126" s="288" t="s">
        <v>475</v>
      </c>
      <c r="C126" s="45"/>
      <c r="D126" s="537">
        <f>Produksi!F122-Stok!L119+'Impor_Pangan Masuk'!F121-'Ekspor_Pangan Keluar'!F121</f>
        <v>288.70531953751254</v>
      </c>
      <c r="E126" s="538"/>
      <c r="F126" s="538"/>
      <c r="G126" s="538"/>
      <c r="H126" s="537">
        <f t="shared" si="17"/>
        <v>0.23096425563001005</v>
      </c>
      <c r="I126" s="538"/>
      <c r="J126" s="537">
        <f t="shared" si="10"/>
        <v>288.47435528188254</v>
      </c>
      <c r="K126" s="438">
        <f t="shared" si="16"/>
        <v>288.70531953751254</v>
      </c>
      <c r="L126" s="440"/>
      <c r="M126" s="271"/>
      <c r="N126" s="271"/>
      <c r="O126" s="270"/>
      <c r="P126" s="270">
        <v>8.0000000000000004E-4</v>
      </c>
      <c r="Q126" s="318"/>
      <c r="T126" s="258"/>
    </row>
    <row r="127" spans="1:20" ht="14.1" customHeight="1" x14ac:dyDescent="0.2">
      <c r="A127" s="297">
        <v>90</v>
      </c>
      <c r="B127" s="288" t="s">
        <v>476</v>
      </c>
      <c r="C127" s="45"/>
      <c r="D127" s="537">
        <f>Produksi!F123-Stok!L120+'Impor_Pangan Masuk'!F122-'Ekspor_Pangan Keluar'!F122</f>
        <v>43.426272003714594</v>
      </c>
      <c r="E127" s="538"/>
      <c r="F127" s="538"/>
      <c r="G127" s="538"/>
      <c r="H127" s="537">
        <f t="shared" si="17"/>
        <v>3.4741017602971679E-2</v>
      </c>
      <c r="I127" s="538"/>
      <c r="J127" s="537">
        <f t="shared" si="10"/>
        <v>43.391530986111626</v>
      </c>
      <c r="K127" s="438">
        <f t="shared" si="16"/>
        <v>43.426272003714594</v>
      </c>
      <c r="L127" s="440"/>
      <c r="M127" s="271"/>
      <c r="N127" s="271"/>
      <c r="O127" s="270"/>
      <c r="P127" s="272">
        <v>8.0000000000000004E-4</v>
      </c>
      <c r="Q127" s="318"/>
      <c r="T127" s="258"/>
    </row>
    <row r="128" spans="1:20" ht="14.1" customHeight="1" x14ac:dyDescent="0.2">
      <c r="A128" s="297">
        <v>91</v>
      </c>
      <c r="B128" s="288" t="s">
        <v>477</v>
      </c>
      <c r="C128" s="45"/>
      <c r="D128" s="537">
        <f>Produksi!F124-Stok!L121+'Impor_Pangan Masuk'!F123-'Ekspor_Pangan Keluar'!F123</f>
        <v>0</v>
      </c>
      <c r="E128" s="538"/>
      <c r="F128" s="538"/>
      <c r="G128" s="538"/>
      <c r="H128" s="537">
        <f t="shared" si="17"/>
        <v>0</v>
      </c>
      <c r="I128" s="538"/>
      <c r="J128" s="537">
        <f t="shared" si="10"/>
        <v>0</v>
      </c>
      <c r="K128" s="438">
        <f t="shared" si="16"/>
        <v>0</v>
      </c>
      <c r="L128" s="440"/>
      <c r="M128" s="271"/>
      <c r="N128" s="271"/>
      <c r="O128" s="270"/>
      <c r="P128" s="272">
        <v>8.0000000000000004E-4</v>
      </c>
      <c r="Q128" s="318"/>
      <c r="T128" s="258"/>
    </row>
    <row r="129" spans="1:20" ht="14.1" customHeight="1" x14ac:dyDescent="0.2">
      <c r="A129" s="297">
        <v>92</v>
      </c>
      <c r="B129" s="288" t="s">
        <v>478</v>
      </c>
      <c r="C129" s="45"/>
      <c r="D129" s="537">
        <f>Produksi!F125-Stok!L122+'Impor_Pangan Masuk'!F124-'Ekspor_Pangan Keluar'!F124</f>
        <v>0</v>
      </c>
      <c r="E129" s="538"/>
      <c r="F129" s="538"/>
      <c r="G129" s="538"/>
      <c r="H129" s="537">
        <f t="shared" si="17"/>
        <v>0</v>
      </c>
      <c r="I129" s="538"/>
      <c r="J129" s="537">
        <f t="shared" si="10"/>
        <v>0</v>
      </c>
      <c r="K129" s="438">
        <f t="shared" si="16"/>
        <v>0</v>
      </c>
      <c r="L129" s="440"/>
      <c r="M129" s="271"/>
      <c r="N129" s="271"/>
      <c r="O129" s="270"/>
      <c r="P129" s="272">
        <v>8.0000000000000004E-4</v>
      </c>
      <c r="Q129" s="318"/>
      <c r="T129" s="258"/>
    </row>
    <row r="130" spans="1:20" ht="14.1" customHeight="1" x14ac:dyDescent="0.2">
      <c r="A130" s="297">
        <v>93</v>
      </c>
      <c r="B130" s="288" t="s">
        <v>479</v>
      </c>
      <c r="C130" s="45"/>
      <c r="D130" s="537">
        <f>Produksi!F126-Stok!L123+'Impor_Pangan Masuk'!F125-'Ekspor_Pangan Keluar'!F125</f>
        <v>0</v>
      </c>
      <c r="E130" s="538"/>
      <c r="F130" s="538"/>
      <c r="G130" s="538"/>
      <c r="H130" s="537">
        <f t="shared" si="17"/>
        <v>0</v>
      </c>
      <c r="I130" s="538"/>
      <c r="J130" s="537">
        <f t="shared" si="10"/>
        <v>0</v>
      </c>
      <c r="K130" s="438">
        <f t="shared" si="16"/>
        <v>0</v>
      </c>
      <c r="L130" s="440"/>
      <c r="M130" s="271"/>
      <c r="N130" s="269"/>
      <c r="O130" s="272"/>
      <c r="P130" s="270">
        <v>8.0000000000000004E-4</v>
      </c>
      <c r="Q130" s="318"/>
      <c r="T130" s="258"/>
    </row>
    <row r="131" spans="1:20" ht="14.1" customHeight="1" x14ac:dyDescent="0.2">
      <c r="A131" s="297">
        <v>94</v>
      </c>
      <c r="B131" s="288" t="s">
        <v>480</v>
      </c>
      <c r="C131" s="45"/>
      <c r="D131" s="537">
        <f>Produksi!F127-Stok!L124+'Impor_Pangan Masuk'!F126-'Ekspor_Pangan Keluar'!F126</f>
        <v>1718.5047229721999</v>
      </c>
      <c r="E131" s="538"/>
      <c r="F131" s="538"/>
      <c r="G131" s="538"/>
      <c r="H131" s="537">
        <f t="shared" si="17"/>
        <v>1.37480377837776</v>
      </c>
      <c r="I131" s="538"/>
      <c r="J131" s="537">
        <f t="shared" si="10"/>
        <v>1717.1299191938222</v>
      </c>
      <c r="K131" s="438">
        <f t="shared" si="16"/>
        <v>1718.5047229721999</v>
      </c>
      <c r="L131" s="440"/>
      <c r="M131" s="271"/>
      <c r="N131" s="269"/>
      <c r="O131" s="272"/>
      <c r="P131" s="270">
        <v>8.0000000000000004E-4</v>
      </c>
      <c r="Q131" s="318"/>
      <c r="T131" s="258"/>
    </row>
    <row r="132" spans="1:20" ht="14.1" customHeight="1" x14ac:dyDescent="0.2">
      <c r="A132" s="297">
        <v>95</v>
      </c>
      <c r="B132" s="288" t="s">
        <v>598</v>
      </c>
      <c r="C132" s="45"/>
      <c r="D132" s="537">
        <f>Produksi!F128-Stok!L125+'Impor_Pangan Masuk'!F127-'Ekspor_Pangan Keluar'!F127</f>
        <v>8238.8856675648458</v>
      </c>
      <c r="E132" s="538"/>
      <c r="F132" s="538"/>
      <c r="G132" s="538"/>
      <c r="H132" s="537">
        <f t="shared" si="17"/>
        <v>6.5911085340518767</v>
      </c>
      <c r="I132" s="538"/>
      <c r="J132" s="537">
        <f t="shared" si="10"/>
        <v>8232.2945590307936</v>
      </c>
      <c r="K132" s="438">
        <f t="shared" si="16"/>
        <v>8238.8856675648458</v>
      </c>
      <c r="L132" s="440"/>
      <c r="M132" s="271"/>
      <c r="N132" s="269"/>
      <c r="O132" s="270"/>
      <c r="P132" s="270">
        <v>8.0000000000000004E-4</v>
      </c>
      <c r="Q132" s="318"/>
      <c r="T132" s="258"/>
    </row>
    <row r="133" spans="1:20" ht="14.1" customHeight="1" x14ac:dyDescent="0.2">
      <c r="A133" s="297">
        <v>96</v>
      </c>
      <c r="B133" s="288" t="s">
        <v>481</v>
      </c>
      <c r="C133" s="45"/>
      <c r="D133" s="537">
        <f>Produksi!F129-Stok!L126+'Impor_Pangan Masuk'!F128-'Ekspor_Pangan Keluar'!F128</f>
        <v>560.16115008265001</v>
      </c>
      <c r="E133" s="538"/>
      <c r="F133" s="538"/>
      <c r="G133" s="538"/>
      <c r="H133" s="537">
        <f t="shared" si="17"/>
        <v>0.44812892006612004</v>
      </c>
      <c r="I133" s="538"/>
      <c r="J133" s="537">
        <f t="shared" si="10"/>
        <v>559.71302116258391</v>
      </c>
      <c r="K133" s="438">
        <f t="shared" si="16"/>
        <v>560.16115008265001</v>
      </c>
      <c r="L133" s="440"/>
      <c r="M133" s="269"/>
      <c r="N133" s="271"/>
      <c r="O133" s="270"/>
      <c r="P133" s="270">
        <v>8.0000000000000004E-4</v>
      </c>
      <c r="Q133" s="319"/>
      <c r="T133" s="258"/>
    </row>
    <row r="134" spans="1:20" ht="14.1" customHeight="1" x14ac:dyDescent="0.2">
      <c r="A134" s="297">
        <v>97</v>
      </c>
      <c r="B134" s="288" t="s">
        <v>482</v>
      </c>
      <c r="C134" s="45"/>
      <c r="D134" s="537">
        <f>Produksi!F130-Stok!L127+'Impor_Pangan Masuk'!F129-'Ekspor_Pangan Keluar'!F129</f>
        <v>6.8619012000000001</v>
      </c>
      <c r="E134" s="538"/>
      <c r="F134" s="538"/>
      <c r="G134" s="538"/>
      <c r="H134" s="537">
        <f t="shared" si="17"/>
        <v>5.48952096E-3</v>
      </c>
      <c r="I134" s="538"/>
      <c r="J134" s="537">
        <f t="shared" si="10"/>
        <v>6.8564116790399998</v>
      </c>
      <c r="K134" s="438">
        <f t="shared" si="16"/>
        <v>6.8619012000000001</v>
      </c>
      <c r="L134" s="440"/>
      <c r="M134" s="269"/>
      <c r="N134" s="269"/>
      <c r="O134" s="270"/>
      <c r="P134" s="270">
        <v>8.0000000000000004E-4</v>
      </c>
      <c r="Q134" s="318"/>
      <c r="T134" s="258"/>
    </row>
    <row r="135" spans="1:20" ht="14.1" customHeight="1" x14ac:dyDescent="0.2">
      <c r="A135" s="297">
        <v>98</v>
      </c>
      <c r="B135" s="288" t="s">
        <v>483</v>
      </c>
      <c r="C135" s="45"/>
      <c r="D135" s="537">
        <f>Produksi!F131-Stok!L128+'Impor_Pangan Masuk'!F130-'Ekspor_Pangan Keluar'!F130</f>
        <v>844.71164549075263</v>
      </c>
      <c r="E135" s="538"/>
      <c r="F135" s="538"/>
      <c r="G135" s="538"/>
      <c r="H135" s="537">
        <f t="shared" si="17"/>
        <v>0.67576931639260218</v>
      </c>
      <c r="I135" s="538"/>
      <c r="J135" s="537">
        <f t="shared" si="10"/>
        <v>844.03587617436006</v>
      </c>
      <c r="K135" s="438">
        <f t="shared" si="16"/>
        <v>844.71164549075263</v>
      </c>
      <c r="L135" s="440"/>
      <c r="M135" s="269"/>
      <c r="N135" s="269"/>
      <c r="O135" s="270"/>
      <c r="P135" s="270">
        <v>8.0000000000000004E-4</v>
      </c>
      <c r="Q135" s="318"/>
      <c r="T135" s="258"/>
    </row>
    <row r="136" spans="1:20" ht="14.1" customHeight="1" x14ac:dyDescent="0.2">
      <c r="A136" s="298"/>
      <c r="B136" s="325"/>
      <c r="C136" s="282"/>
      <c r="D136" s="539"/>
      <c r="E136" s="538"/>
      <c r="F136" s="539"/>
      <c r="G136" s="539"/>
      <c r="H136" s="539"/>
      <c r="I136" s="539"/>
      <c r="J136" s="539"/>
      <c r="K136" s="438">
        <f t="shared" si="16"/>
        <v>0</v>
      </c>
      <c r="L136" s="440"/>
      <c r="M136" s="406"/>
      <c r="N136" s="409"/>
      <c r="O136" s="407"/>
      <c r="P136" s="410"/>
      <c r="Q136" s="408"/>
      <c r="R136" s="416"/>
      <c r="S136" s="416"/>
      <c r="T136" s="258"/>
    </row>
    <row r="137" spans="1:20" ht="14.1" customHeight="1" x14ac:dyDescent="0.2">
      <c r="A137" s="288" t="s">
        <v>128</v>
      </c>
      <c r="B137" s="288"/>
      <c r="C137" s="282"/>
      <c r="D137" s="539"/>
      <c r="E137" s="538"/>
      <c r="F137" s="539"/>
      <c r="G137" s="539"/>
      <c r="H137" s="539"/>
      <c r="I137" s="539"/>
      <c r="J137" s="539"/>
      <c r="K137" s="438">
        <f t="shared" ref="K137:K168" si="18">E137+F137+G137+H137+I137+J137</f>
        <v>0</v>
      </c>
      <c r="L137" s="440"/>
      <c r="M137" s="406"/>
      <c r="N137" s="406"/>
      <c r="O137" s="407"/>
      <c r="P137" s="410"/>
      <c r="Q137" s="408"/>
      <c r="R137" s="416"/>
      <c r="S137" s="416"/>
      <c r="T137" s="258"/>
    </row>
    <row r="138" spans="1:20" ht="14.1" customHeight="1" x14ac:dyDescent="0.2">
      <c r="A138" s="282">
        <v>99</v>
      </c>
      <c r="B138" s="291" t="s">
        <v>484</v>
      </c>
      <c r="C138" s="45"/>
      <c r="D138" s="537">
        <f>Produksi!F134-Stok!L131+'Impor_Pangan Masuk'!F133-'Ekspor_Pangan Keluar'!F133</f>
        <v>981.24472141374997</v>
      </c>
      <c r="E138" s="538"/>
      <c r="F138" s="537">
        <f>D138*N138</f>
        <v>245.31118035343749</v>
      </c>
      <c r="G138" s="538"/>
      <c r="H138" s="537">
        <f t="shared" ref="H138:H181" si="19">D138*P138</f>
        <v>37.876046246570752</v>
      </c>
      <c r="I138" s="538"/>
      <c r="J138" s="537">
        <f t="shared" ref="J138:J197" si="20">D138-E138-F138-G138-H138-I138</f>
        <v>698.05749481374164</v>
      </c>
      <c r="K138" s="438">
        <f t="shared" si="18"/>
        <v>981.24472141374986</v>
      </c>
      <c r="L138" s="440"/>
      <c r="M138" s="271"/>
      <c r="N138" s="271">
        <v>0.25</v>
      </c>
      <c r="O138" s="270"/>
      <c r="P138" s="270">
        <v>3.8600000000000002E-2</v>
      </c>
      <c r="Q138" s="318"/>
      <c r="T138" s="258"/>
    </row>
    <row r="139" spans="1:20" ht="14.1" customHeight="1" x14ac:dyDescent="0.2">
      <c r="A139" s="282">
        <v>100</v>
      </c>
      <c r="B139" s="291" t="s">
        <v>485</v>
      </c>
      <c r="C139" s="45"/>
      <c r="D139" s="537">
        <f>Produksi!F135-Stok!L132+'Impor_Pangan Masuk'!F134-'Ekspor_Pangan Keluar'!F134</f>
        <v>6250.9125998507998</v>
      </c>
      <c r="E139" s="538"/>
      <c r="F139" s="538"/>
      <c r="G139" s="538"/>
      <c r="H139" s="537">
        <f t="shared" si="19"/>
        <v>128.14370829694141</v>
      </c>
      <c r="I139" s="538"/>
      <c r="J139" s="537">
        <f t="shared" si="20"/>
        <v>6122.7688915538583</v>
      </c>
      <c r="K139" s="438">
        <f t="shared" si="18"/>
        <v>6250.9125998507998</v>
      </c>
      <c r="L139" s="440"/>
      <c r="M139" s="271"/>
      <c r="N139" s="269"/>
      <c r="O139" s="272"/>
      <c r="P139" s="270">
        <v>2.0500000000000001E-2</v>
      </c>
      <c r="Q139" s="318"/>
      <c r="T139" s="258"/>
    </row>
    <row r="140" spans="1:20" ht="14.1" customHeight="1" x14ac:dyDescent="0.2">
      <c r="A140" s="282">
        <v>101</v>
      </c>
      <c r="B140" s="291" t="s">
        <v>486</v>
      </c>
      <c r="C140" s="45"/>
      <c r="D140" s="537">
        <f>Produksi!F136-Stok!L133+'Impor_Pangan Masuk'!F135-'Ekspor_Pangan Keluar'!F135</f>
        <v>403.45018958294997</v>
      </c>
      <c r="E140" s="538"/>
      <c r="F140" s="537">
        <f>D140*N140</f>
        <v>54.465775593698247</v>
      </c>
      <c r="G140" s="538"/>
      <c r="H140" s="537">
        <f t="shared" si="19"/>
        <v>15.815247431651638</v>
      </c>
      <c r="I140" s="538"/>
      <c r="J140" s="537">
        <f t="shared" si="20"/>
        <v>333.16916655760008</v>
      </c>
      <c r="K140" s="438">
        <f t="shared" si="18"/>
        <v>403.45018958294997</v>
      </c>
      <c r="L140" s="440"/>
      <c r="M140" s="271"/>
      <c r="N140" s="269">
        <v>0.13500000000000001</v>
      </c>
      <c r="O140" s="272"/>
      <c r="P140" s="270">
        <v>3.9199999999999999E-2</v>
      </c>
      <c r="Q140" s="318"/>
      <c r="T140" s="258"/>
    </row>
    <row r="141" spans="1:20" ht="14.1" customHeight="1" x14ac:dyDescent="0.2">
      <c r="A141" s="282">
        <v>102</v>
      </c>
      <c r="B141" s="291" t="s">
        <v>487</v>
      </c>
      <c r="C141" s="45"/>
      <c r="D141" s="537">
        <f>Produksi!F137-Stok!L134+'Impor_Pangan Masuk'!F136-'Ekspor_Pangan Keluar'!F136</f>
        <v>254.08425764</v>
      </c>
      <c r="E141" s="538"/>
      <c r="F141" s="538"/>
      <c r="G141" s="538"/>
      <c r="H141" s="538">
        <f t="shared" si="19"/>
        <v>0</v>
      </c>
      <c r="I141" s="538"/>
      <c r="J141" s="537">
        <f t="shared" si="20"/>
        <v>254.08425764</v>
      </c>
      <c r="K141" s="438">
        <f t="shared" si="18"/>
        <v>254.08425764</v>
      </c>
      <c r="L141" s="440"/>
      <c r="M141" s="269"/>
      <c r="N141" s="271"/>
      <c r="O141" s="270"/>
      <c r="P141" s="270"/>
      <c r="Q141" s="318"/>
      <c r="T141" s="258"/>
    </row>
    <row r="142" spans="1:20" ht="14.1" customHeight="1" x14ac:dyDescent="0.2">
      <c r="A142" s="282"/>
      <c r="B142" s="288"/>
      <c r="C142" s="282"/>
      <c r="D142" s="537">
        <f>Produksi!F138-Stok!L135+'Impor_Pangan Masuk'!F137-'Ekspor_Pangan Keluar'!F137</f>
        <v>0</v>
      </c>
      <c r="E142" s="538"/>
      <c r="F142" s="538"/>
      <c r="G142" s="538"/>
      <c r="H142" s="538">
        <f t="shared" si="19"/>
        <v>0</v>
      </c>
      <c r="I142" s="538"/>
      <c r="J142" s="537">
        <f t="shared" si="20"/>
        <v>0</v>
      </c>
      <c r="K142" s="438">
        <f t="shared" si="18"/>
        <v>0</v>
      </c>
      <c r="L142" s="440"/>
      <c r="M142" s="271"/>
      <c r="N142" s="271"/>
      <c r="O142" s="270"/>
      <c r="P142" s="270"/>
      <c r="Q142" s="318"/>
      <c r="T142" s="258"/>
    </row>
    <row r="143" spans="1:20" ht="14.1" customHeight="1" x14ac:dyDescent="0.2">
      <c r="A143" s="288" t="s">
        <v>132</v>
      </c>
      <c r="B143" s="288"/>
      <c r="C143" s="282"/>
      <c r="D143" s="537">
        <f>Produksi!F139-Stok!L136+'Impor_Pangan Masuk'!F138-'Ekspor_Pangan Keluar'!F138</f>
        <v>0</v>
      </c>
      <c r="E143" s="538"/>
      <c r="F143" s="538"/>
      <c r="G143" s="538"/>
      <c r="H143" s="538">
        <f t="shared" si="19"/>
        <v>0</v>
      </c>
      <c r="I143" s="538"/>
      <c r="J143" s="537">
        <f t="shared" si="20"/>
        <v>0</v>
      </c>
      <c r="K143" s="438">
        <f t="shared" si="18"/>
        <v>0</v>
      </c>
      <c r="L143" s="440"/>
      <c r="M143" s="271"/>
      <c r="N143" s="271"/>
      <c r="O143" s="270"/>
      <c r="P143" s="270"/>
      <c r="Q143" s="318"/>
      <c r="T143" s="258"/>
    </row>
    <row r="144" spans="1:20" ht="14.1" customHeight="1" x14ac:dyDescent="0.2">
      <c r="A144" s="282">
        <v>103</v>
      </c>
      <c r="B144" s="288" t="s">
        <v>488</v>
      </c>
      <c r="C144" s="45"/>
      <c r="D144" s="537">
        <f>Produksi!F140-Stok!L137+'Impor_Pangan Masuk'!F139-'Ekspor_Pangan Keluar'!F139</f>
        <v>0</v>
      </c>
      <c r="E144" s="537">
        <f>D144*M144</f>
        <v>0</v>
      </c>
      <c r="F144" s="538"/>
      <c r="G144" s="538"/>
      <c r="H144" s="537">
        <f t="shared" si="19"/>
        <v>0</v>
      </c>
      <c r="I144" s="538"/>
      <c r="J144" s="537">
        <f t="shared" si="20"/>
        <v>0</v>
      </c>
      <c r="K144" s="438">
        <f t="shared" si="18"/>
        <v>0</v>
      </c>
      <c r="L144" s="440"/>
      <c r="M144" s="271">
        <v>0.01</v>
      </c>
      <c r="N144" s="271"/>
      <c r="O144" s="270"/>
      <c r="P144" s="318">
        <v>0.01</v>
      </c>
      <c r="Q144" s="318"/>
      <c r="T144" s="258"/>
    </row>
    <row r="145" spans="1:20" ht="14.1" customHeight="1" x14ac:dyDescent="0.2">
      <c r="A145" s="282">
        <v>104</v>
      </c>
      <c r="B145" s="288" t="s">
        <v>489</v>
      </c>
      <c r="C145" s="45"/>
      <c r="D145" s="537">
        <f>Produksi!F141-Stok!L138+'Impor_Pangan Masuk'!F140-'Ekspor_Pangan Keluar'!F140</f>
        <v>0</v>
      </c>
      <c r="E145" s="537">
        <f>D145*M145</f>
        <v>0</v>
      </c>
      <c r="F145" s="538"/>
      <c r="G145" s="538"/>
      <c r="H145" s="537">
        <f t="shared" si="19"/>
        <v>0</v>
      </c>
      <c r="I145" s="538"/>
      <c r="J145" s="537">
        <f t="shared" si="20"/>
        <v>0</v>
      </c>
      <c r="K145" s="438">
        <f t="shared" si="18"/>
        <v>0</v>
      </c>
      <c r="L145" s="440"/>
      <c r="M145" s="271">
        <v>0.01</v>
      </c>
      <c r="N145" s="271"/>
      <c r="O145" s="270"/>
      <c r="P145" s="318">
        <v>0.01</v>
      </c>
      <c r="Q145" s="318"/>
      <c r="T145" s="258"/>
    </row>
    <row r="146" spans="1:20" ht="14.1" customHeight="1" x14ac:dyDescent="0.2">
      <c r="A146" s="282"/>
      <c r="B146" s="288"/>
      <c r="C146" s="282"/>
      <c r="D146" s="537">
        <f>Produksi!F142-Stok!L139+'Impor_Pangan Masuk'!F141-'Ekspor_Pangan Keluar'!F141</f>
        <v>0</v>
      </c>
      <c r="E146" s="538"/>
      <c r="F146" s="538"/>
      <c r="G146" s="538"/>
      <c r="H146" s="538">
        <f t="shared" si="19"/>
        <v>0</v>
      </c>
      <c r="I146" s="538"/>
      <c r="J146" s="537">
        <f t="shared" si="20"/>
        <v>0</v>
      </c>
      <c r="K146" s="438">
        <f t="shared" si="18"/>
        <v>0</v>
      </c>
      <c r="L146" s="440"/>
      <c r="M146" s="271"/>
      <c r="N146" s="271"/>
      <c r="O146" s="270"/>
      <c r="P146" s="270"/>
      <c r="Q146" s="318"/>
      <c r="T146" s="258"/>
    </row>
    <row r="147" spans="1:20" ht="14.1" customHeight="1" x14ac:dyDescent="0.2">
      <c r="A147" s="288" t="s">
        <v>135</v>
      </c>
      <c r="B147" s="288"/>
      <c r="C147" s="282"/>
      <c r="D147" s="537">
        <f>Produksi!F143-Stok!L140+'Impor_Pangan Masuk'!F142-'Ekspor_Pangan Keluar'!F142</f>
        <v>0</v>
      </c>
      <c r="E147" s="538"/>
      <c r="F147" s="538"/>
      <c r="G147" s="538"/>
      <c r="H147" s="538">
        <f t="shared" si="19"/>
        <v>0</v>
      </c>
      <c r="I147" s="538"/>
      <c r="J147" s="537">
        <f t="shared" si="20"/>
        <v>0</v>
      </c>
      <c r="K147" s="438">
        <f t="shared" si="18"/>
        <v>0</v>
      </c>
      <c r="L147" s="440"/>
      <c r="M147" s="271"/>
      <c r="N147" s="271"/>
      <c r="O147" s="270"/>
      <c r="P147" s="270"/>
      <c r="Q147" s="318"/>
      <c r="T147" s="258"/>
    </row>
    <row r="148" spans="1:20" ht="14.1" customHeight="1" x14ac:dyDescent="0.2">
      <c r="A148" s="282">
        <v>105</v>
      </c>
      <c r="B148" s="288" t="s">
        <v>490</v>
      </c>
      <c r="C148" s="45"/>
      <c r="D148" s="537">
        <f>Produksi!F144-Stok!L141+'Impor_Pangan Masuk'!F143-'Ekspor_Pangan Keluar'!F143</f>
        <v>755.94436559547296</v>
      </c>
      <c r="E148" s="538"/>
      <c r="F148" s="538"/>
      <c r="G148" s="538"/>
      <c r="H148" s="537">
        <f t="shared" si="19"/>
        <v>7.5594436559547296</v>
      </c>
      <c r="I148" s="538"/>
      <c r="J148" s="537">
        <f t="shared" si="20"/>
        <v>748.38492193951822</v>
      </c>
      <c r="K148" s="438">
        <f t="shared" si="18"/>
        <v>755.94436559547296</v>
      </c>
      <c r="L148" s="440"/>
      <c r="M148" s="271"/>
      <c r="N148" s="271"/>
      <c r="O148" s="270"/>
      <c r="P148" s="270">
        <v>0.01</v>
      </c>
      <c r="Q148" s="318"/>
      <c r="T148" s="258"/>
    </row>
    <row r="149" spans="1:20" ht="14.1" customHeight="1" x14ac:dyDescent="0.2">
      <c r="A149" s="282">
        <v>106</v>
      </c>
      <c r="B149" s="288" t="s">
        <v>491</v>
      </c>
      <c r="C149" s="45"/>
      <c r="D149" s="537">
        <f>Produksi!F145-Stok!L142+'Impor_Pangan Masuk'!F144-'Ekspor_Pangan Keluar'!F144</f>
        <v>7.6209018170622498</v>
      </c>
      <c r="E149" s="538"/>
      <c r="F149" s="538"/>
      <c r="G149" s="538"/>
      <c r="H149" s="537">
        <f t="shared" si="19"/>
        <v>7.6209018170622506E-2</v>
      </c>
      <c r="I149" s="538"/>
      <c r="J149" s="537">
        <f t="shared" si="20"/>
        <v>7.544692798891627</v>
      </c>
      <c r="K149" s="438">
        <f t="shared" si="18"/>
        <v>7.6209018170622498</v>
      </c>
      <c r="L149" s="440"/>
      <c r="M149" s="271"/>
      <c r="N149" s="271"/>
      <c r="O149" s="270"/>
      <c r="P149" s="270">
        <v>0.01</v>
      </c>
      <c r="Q149" s="318"/>
      <c r="T149" s="258"/>
    </row>
    <row r="150" spans="1:20" ht="14.1" customHeight="1" x14ac:dyDescent="0.2">
      <c r="A150" s="282">
        <v>107</v>
      </c>
      <c r="B150" s="288" t="s">
        <v>492</v>
      </c>
      <c r="C150" s="45"/>
      <c r="D150" s="537">
        <f>Produksi!F146-Stok!L143+'Impor_Pangan Masuk'!F145-'Ekspor_Pangan Keluar'!F145</f>
        <v>0</v>
      </c>
      <c r="E150" s="538"/>
      <c r="F150" s="538"/>
      <c r="G150" s="538"/>
      <c r="H150" s="537">
        <f t="shared" si="19"/>
        <v>0</v>
      </c>
      <c r="I150" s="538"/>
      <c r="J150" s="537">
        <f t="shared" si="20"/>
        <v>0</v>
      </c>
      <c r="K150" s="438">
        <f t="shared" si="18"/>
        <v>0</v>
      </c>
      <c r="L150" s="440"/>
      <c r="M150" s="271"/>
      <c r="N150" s="271"/>
      <c r="O150" s="270"/>
      <c r="P150" s="270">
        <v>0.01</v>
      </c>
      <c r="Q150" s="318"/>
      <c r="T150" s="258"/>
    </row>
    <row r="151" spans="1:20" ht="14.1" customHeight="1" x14ac:dyDescent="0.2">
      <c r="A151" s="282">
        <v>108</v>
      </c>
      <c r="B151" s="288" t="s">
        <v>493</v>
      </c>
      <c r="C151" s="45"/>
      <c r="D151" s="537">
        <f>Produksi!F147-Stok!L144+'Impor_Pangan Masuk'!F146-'Ekspor_Pangan Keluar'!F146</f>
        <v>22</v>
      </c>
      <c r="E151" s="538"/>
      <c r="F151" s="538"/>
      <c r="G151" s="538"/>
      <c r="H151" s="537">
        <f t="shared" si="19"/>
        <v>0.22</v>
      </c>
      <c r="I151" s="538"/>
      <c r="J151" s="537">
        <f t="shared" si="20"/>
        <v>21.78</v>
      </c>
      <c r="K151" s="438">
        <f t="shared" si="18"/>
        <v>22</v>
      </c>
      <c r="L151" s="440"/>
      <c r="M151" s="271"/>
      <c r="N151" s="271"/>
      <c r="O151" s="270"/>
      <c r="P151" s="270">
        <v>0.01</v>
      </c>
      <c r="Q151" s="318"/>
      <c r="T151" s="258"/>
    </row>
    <row r="152" spans="1:20" ht="14.1" customHeight="1" x14ac:dyDescent="0.2">
      <c r="A152" s="282">
        <v>109</v>
      </c>
      <c r="B152" s="288" t="s">
        <v>494</v>
      </c>
      <c r="C152" s="45"/>
      <c r="D152" s="537">
        <f>Produksi!F148-Stok!L145+'Impor_Pangan Masuk'!F147-'Ekspor_Pangan Keluar'!F147</f>
        <v>2955</v>
      </c>
      <c r="E152" s="538"/>
      <c r="F152" s="538"/>
      <c r="G152" s="538"/>
      <c r="H152" s="537">
        <f t="shared" si="19"/>
        <v>29.55</v>
      </c>
      <c r="I152" s="538"/>
      <c r="J152" s="537">
        <f t="shared" si="20"/>
        <v>2925.45</v>
      </c>
      <c r="K152" s="438">
        <f t="shared" si="18"/>
        <v>2955</v>
      </c>
      <c r="L152" s="440"/>
      <c r="M152" s="271"/>
      <c r="N152" s="271"/>
      <c r="O152" s="270"/>
      <c r="P152" s="270">
        <v>0.01</v>
      </c>
      <c r="Q152" s="318"/>
      <c r="T152" s="258"/>
    </row>
    <row r="153" spans="1:20" ht="14.1" customHeight="1" x14ac:dyDescent="0.2">
      <c r="A153" s="282">
        <v>110</v>
      </c>
      <c r="B153" s="288" t="s">
        <v>495</v>
      </c>
      <c r="C153" s="45"/>
      <c r="D153" s="537">
        <f>Produksi!F149-Stok!L146+'Impor_Pangan Masuk'!F148-'Ekspor_Pangan Keluar'!F148</f>
        <v>0</v>
      </c>
      <c r="E153" s="538"/>
      <c r="F153" s="538"/>
      <c r="G153" s="538"/>
      <c r="H153" s="537">
        <f t="shared" si="19"/>
        <v>0</v>
      </c>
      <c r="I153" s="538"/>
      <c r="J153" s="537">
        <f t="shared" si="20"/>
        <v>0</v>
      </c>
      <c r="K153" s="438">
        <f t="shared" si="18"/>
        <v>0</v>
      </c>
      <c r="L153" s="440"/>
      <c r="M153" s="271"/>
      <c r="N153" s="271"/>
      <c r="O153" s="270"/>
      <c r="P153" s="270">
        <v>0.01</v>
      </c>
      <c r="Q153" s="318"/>
      <c r="T153" s="258"/>
    </row>
    <row r="154" spans="1:20" ht="14.1" customHeight="1" x14ac:dyDescent="0.2">
      <c r="A154" s="282">
        <v>111</v>
      </c>
      <c r="B154" s="288" t="s">
        <v>496</v>
      </c>
      <c r="C154" s="45"/>
      <c r="D154" s="537">
        <f>Produksi!F150-Stok!L147+'Impor_Pangan Masuk'!F149-'Ekspor_Pangan Keluar'!F149</f>
        <v>63.029507460292699</v>
      </c>
      <c r="E154" s="538"/>
      <c r="F154" s="538"/>
      <c r="G154" s="538"/>
      <c r="H154" s="537">
        <f t="shared" si="19"/>
        <v>0.630295074602927</v>
      </c>
      <c r="I154" s="538"/>
      <c r="J154" s="537">
        <f t="shared" si="20"/>
        <v>62.399212385689772</v>
      </c>
      <c r="K154" s="438">
        <f t="shared" si="18"/>
        <v>63.029507460292699</v>
      </c>
      <c r="L154" s="440"/>
      <c r="M154" s="271"/>
      <c r="N154" s="271"/>
      <c r="O154" s="270"/>
      <c r="P154" s="270">
        <v>0.01</v>
      </c>
      <c r="Q154" s="318"/>
      <c r="T154" s="258"/>
    </row>
    <row r="155" spans="1:20" ht="14.1" customHeight="1" x14ac:dyDescent="0.2">
      <c r="A155" s="282">
        <v>112</v>
      </c>
      <c r="B155" s="288" t="s">
        <v>497</v>
      </c>
      <c r="C155" s="45"/>
      <c r="D155" s="537">
        <f>Produksi!F151-Stok!L148+'Impor_Pangan Masuk'!F150-'Ekspor_Pangan Keluar'!F150</f>
        <v>6.47630990382926</v>
      </c>
      <c r="E155" s="538"/>
      <c r="F155" s="538"/>
      <c r="G155" s="538"/>
      <c r="H155" s="537">
        <f t="shared" si="19"/>
        <v>6.4763099038292596E-2</v>
      </c>
      <c r="I155" s="538"/>
      <c r="J155" s="537">
        <f t="shared" si="20"/>
        <v>6.4115468047909676</v>
      </c>
      <c r="K155" s="438">
        <f t="shared" si="18"/>
        <v>6.47630990382926</v>
      </c>
      <c r="L155" s="440"/>
      <c r="M155" s="271"/>
      <c r="N155" s="271"/>
      <c r="O155" s="270"/>
      <c r="P155" s="270">
        <v>0.01</v>
      </c>
      <c r="Q155" s="318"/>
      <c r="T155" s="258"/>
    </row>
    <row r="156" spans="1:20" ht="14.1" customHeight="1" x14ac:dyDescent="0.2">
      <c r="A156" s="282">
        <v>113</v>
      </c>
      <c r="B156" s="288" t="s">
        <v>498</v>
      </c>
      <c r="C156" s="45"/>
      <c r="D156" s="537">
        <f>Produksi!F152-Stok!L149+'Impor_Pangan Masuk'!F151-'Ekspor_Pangan Keluar'!F151</f>
        <v>1.14090724695353</v>
      </c>
      <c r="E156" s="538"/>
      <c r="F156" s="538"/>
      <c r="G156" s="538"/>
      <c r="H156" s="537">
        <f t="shared" si="19"/>
        <v>1.1409072469535301E-2</v>
      </c>
      <c r="I156" s="538"/>
      <c r="J156" s="537">
        <f t="shared" si="20"/>
        <v>1.1294981744839947</v>
      </c>
      <c r="K156" s="438">
        <f t="shared" si="18"/>
        <v>1.14090724695353</v>
      </c>
      <c r="L156" s="440"/>
      <c r="M156" s="271"/>
      <c r="N156" s="271"/>
      <c r="O156" s="270"/>
      <c r="P156" s="270">
        <v>0.01</v>
      </c>
      <c r="Q156" s="318"/>
      <c r="T156" s="258"/>
    </row>
    <row r="157" spans="1:20" ht="14.1" customHeight="1" x14ac:dyDescent="0.2">
      <c r="A157" s="282">
        <v>114</v>
      </c>
      <c r="B157" s="288" t="s">
        <v>499</v>
      </c>
      <c r="C157" s="45"/>
      <c r="D157" s="537">
        <f>Produksi!F153-Stok!L150+'Impor_Pangan Masuk'!F152-'Ekspor_Pangan Keluar'!F152</f>
        <v>0</v>
      </c>
      <c r="E157" s="538"/>
      <c r="F157" s="538"/>
      <c r="G157" s="538"/>
      <c r="H157" s="537">
        <f t="shared" si="19"/>
        <v>0</v>
      </c>
      <c r="I157" s="538"/>
      <c r="J157" s="537">
        <f t="shared" si="20"/>
        <v>0</v>
      </c>
      <c r="K157" s="438">
        <f t="shared" si="18"/>
        <v>0</v>
      </c>
      <c r="L157" s="440"/>
      <c r="M157" s="271"/>
      <c r="N157" s="271"/>
      <c r="O157" s="270"/>
      <c r="P157" s="270">
        <v>0.01</v>
      </c>
      <c r="Q157" s="318"/>
      <c r="T157" s="258"/>
    </row>
    <row r="158" spans="1:20" ht="14.1" customHeight="1" x14ac:dyDescent="0.2">
      <c r="A158" s="282">
        <v>115</v>
      </c>
      <c r="B158" s="288" t="s">
        <v>500</v>
      </c>
      <c r="C158" s="45"/>
      <c r="D158" s="537">
        <f>Produksi!F154-Stok!L151+'Impor_Pangan Masuk'!F153-'Ekspor_Pangan Keluar'!F153</f>
        <v>40.922301395519497</v>
      </c>
      <c r="E158" s="538"/>
      <c r="F158" s="538"/>
      <c r="G158" s="538"/>
      <c r="H158" s="537">
        <f t="shared" si="19"/>
        <v>0.409223013955195</v>
      </c>
      <c r="I158" s="538"/>
      <c r="J158" s="537">
        <f t="shared" si="20"/>
        <v>40.513078381564306</v>
      </c>
      <c r="K158" s="438">
        <f t="shared" si="18"/>
        <v>40.922301395519497</v>
      </c>
      <c r="L158" s="440"/>
      <c r="M158" s="271"/>
      <c r="N158" s="271"/>
      <c r="O158" s="270"/>
      <c r="P158" s="270">
        <v>0.01</v>
      </c>
      <c r="Q158" s="318"/>
      <c r="T158" s="258"/>
    </row>
    <row r="159" spans="1:20" ht="14.1" customHeight="1" x14ac:dyDescent="0.2">
      <c r="A159" s="282">
        <v>116</v>
      </c>
      <c r="B159" s="288" t="s">
        <v>501</v>
      </c>
      <c r="C159" s="45"/>
      <c r="D159" s="537">
        <f>Produksi!F155-Stok!L152+'Impor_Pangan Masuk'!F154-'Ekspor_Pangan Keluar'!F154</f>
        <v>3195.43</v>
      </c>
      <c r="E159" s="538"/>
      <c r="F159" s="538"/>
      <c r="G159" s="538"/>
      <c r="H159" s="537">
        <f t="shared" si="19"/>
        <v>31.9543</v>
      </c>
      <c r="I159" s="538"/>
      <c r="J159" s="537">
        <f t="shared" si="20"/>
        <v>3163.4757</v>
      </c>
      <c r="K159" s="438">
        <f t="shared" si="18"/>
        <v>3195.43</v>
      </c>
      <c r="L159" s="440"/>
      <c r="M159" s="271"/>
      <c r="N159" s="271"/>
      <c r="O159" s="270"/>
      <c r="P159" s="270">
        <v>0.01</v>
      </c>
      <c r="Q159" s="318"/>
      <c r="T159" s="258"/>
    </row>
    <row r="160" spans="1:20" ht="14.1" customHeight="1" x14ac:dyDescent="0.2">
      <c r="A160" s="282">
        <v>117</v>
      </c>
      <c r="B160" s="288" t="s">
        <v>502</v>
      </c>
      <c r="C160" s="45"/>
      <c r="D160" s="537">
        <f>Produksi!F156-Stok!L153+'Impor_Pangan Masuk'!F155-'Ekspor_Pangan Keluar'!F155</f>
        <v>10147.36</v>
      </c>
      <c r="E160" s="538"/>
      <c r="F160" s="538"/>
      <c r="G160" s="538"/>
      <c r="H160" s="537">
        <f t="shared" si="19"/>
        <v>101.4736</v>
      </c>
      <c r="I160" s="538"/>
      <c r="J160" s="537">
        <f t="shared" si="20"/>
        <v>10045.886400000001</v>
      </c>
      <c r="K160" s="438">
        <f t="shared" si="18"/>
        <v>10147.36</v>
      </c>
      <c r="L160" s="440"/>
      <c r="M160" s="271"/>
      <c r="N160" s="271"/>
      <c r="O160" s="270"/>
      <c r="P160" s="272">
        <v>0.01</v>
      </c>
      <c r="Q160" s="318"/>
      <c r="T160" s="258"/>
    </row>
    <row r="161" spans="1:20" ht="14.1" customHeight="1" x14ac:dyDescent="0.2">
      <c r="A161" s="282">
        <v>118</v>
      </c>
      <c r="B161" s="288" t="s">
        <v>503</v>
      </c>
      <c r="C161" s="45"/>
      <c r="D161" s="537">
        <f>Produksi!F157-Stok!L154+'Impor_Pangan Masuk'!F156-'Ekspor_Pangan Keluar'!F156</f>
        <v>1572.1100000000001</v>
      </c>
      <c r="E161" s="538"/>
      <c r="F161" s="538"/>
      <c r="G161" s="538"/>
      <c r="H161" s="537">
        <f t="shared" si="19"/>
        <v>15.721100000000002</v>
      </c>
      <c r="I161" s="538"/>
      <c r="J161" s="537">
        <f t="shared" si="20"/>
        <v>1556.3889000000001</v>
      </c>
      <c r="K161" s="438">
        <f t="shared" si="18"/>
        <v>1572.1100000000001</v>
      </c>
      <c r="L161" s="440"/>
      <c r="M161" s="271"/>
      <c r="N161" s="271"/>
      <c r="O161" s="270"/>
      <c r="P161" s="272">
        <v>0.01</v>
      </c>
      <c r="Q161" s="318"/>
      <c r="T161" s="258"/>
    </row>
    <row r="162" spans="1:20" ht="14.1" customHeight="1" x14ac:dyDescent="0.2">
      <c r="A162" s="282">
        <v>119</v>
      </c>
      <c r="B162" s="288" t="s">
        <v>504</v>
      </c>
      <c r="C162" s="45"/>
      <c r="D162" s="537">
        <f>Produksi!F158-Stok!L155+'Impor_Pangan Masuk'!F157-'Ekspor_Pangan Keluar'!F157</f>
        <v>11042.5</v>
      </c>
      <c r="E162" s="538"/>
      <c r="F162" s="538"/>
      <c r="G162" s="538"/>
      <c r="H162" s="537">
        <f t="shared" si="19"/>
        <v>110.425</v>
      </c>
      <c r="I162" s="538"/>
      <c r="J162" s="537">
        <f t="shared" si="20"/>
        <v>10932.075000000001</v>
      </c>
      <c r="K162" s="438">
        <f t="shared" si="18"/>
        <v>11042.5</v>
      </c>
      <c r="L162" s="440"/>
      <c r="M162" s="271"/>
      <c r="N162" s="271"/>
      <c r="O162" s="270"/>
      <c r="P162" s="272">
        <v>0.01</v>
      </c>
      <c r="Q162" s="318"/>
      <c r="T162" s="258"/>
    </row>
    <row r="163" spans="1:20" ht="14.1" customHeight="1" x14ac:dyDescent="0.2">
      <c r="A163" s="282">
        <v>120</v>
      </c>
      <c r="B163" s="288" t="s">
        <v>505</v>
      </c>
      <c r="C163" s="45"/>
      <c r="D163" s="537">
        <f>Produksi!F159-Stok!L156+'Impor_Pangan Masuk'!F158-'Ekspor_Pangan Keluar'!F158</f>
        <v>0</v>
      </c>
      <c r="E163" s="538"/>
      <c r="F163" s="538"/>
      <c r="G163" s="538"/>
      <c r="H163" s="537">
        <f t="shared" si="19"/>
        <v>0</v>
      </c>
      <c r="I163" s="538"/>
      <c r="J163" s="537">
        <f t="shared" si="20"/>
        <v>0</v>
      </c>
      <c r="K163" s="438">
        <f t="shared" si="18"/>
        <v>0</v>
      </c>
      <c r="L163" s="440"/>
      <c r="M163" s="271"/>
      <c r="N163" s="271"/>
      <c r="O163" s="270"/>
      <c r="P163" s="272">
        <v>0.01</v>
      </c>
      <c r="Q163" s="318"/>
      <c r="T163" s="258"/>
    </row>
    <row r="164" spans="1:20" ht="14.1" customHeight="1" x14ac:dyDescent="0.2">
      <c r="A164" s="282">
        <v>121</v>
      </c>
      <c r="B164" s="288" t="s">
        <v>506</v>
      </c>
      <c r="C164" s="45"/>
      <c r="D164" s="537">
        <f>Produksi!F160-Stok!L157+'Impor_Pangan Masuk'!F159-'Ekspor_Pangan Keluar'!F159</f>
        <v>840.02</v>
      </c>
      <c r="E164" s="538"/>
      <c r="F164" s="538"/>
      <c r="G164" s="538"/>
      <c r="H164" s="537">
        <f t="shared" si="19"/>
        <v>8.4001999999999999</v>
      </c>
      <c r="I164" s="538"/>
      <c r="J164" s="537">
        <f t="shared" si="20"/>
        <v>831.61979999999994</v>
      </c>
      <c r="K164" s="438">
        <f t="shared" si="18"/>
        <v>840.02</v>
      </c>
      <c r="L164" s="440"/>
      <c r="M164" s="271"/>
      <c r="N164" s="271"/>
      <c r="O164" s="270"/>
      <c r="P164" s="272">
        <v>0.01</v>
      </c>
      <c r="Q164" s="318"/>
      <c r="T164" s="258"/>
    </row>
    <row r="165" spans="1:20" ht="14.1" customHeight="1" x14ac:dyDescent="0.2">
      <c r="A165" s="282">
        <v>122</v>
      </c>
      <c r="B165" s="288" t="s">
        <v>507</v>
      </c>
      <c r="C165" s="45"/>
      <c r="D165" s="537">
        <f>Produksi!F161-Stok!L158+'Impor_Pangan Masuk'!F160-'Ekspor_Pangan Keluar'!F160</f>
        <v>137</v>
      </c>
      <c r="E165" s="538"/>
      <c r="F165" s="538"/>
      <c r="G165" s="538"/>
      <c r="H165" s="537">
        <f t="shared" si="19"/>
        <v>0.68500000000000005</v>
      </c>
      <c r="I165" s="538"/>
      <c r="J165" s="537">
        <f t="shared" si="20"/>
        <v>136.315</v>
      </c>
      <c r="K165" s="438">
        <f t="shared" si="18"/>
        <v>137</v>
      </c>
      <c r="L165" s="440"/>
      <c r="M165" s="271"/>
      <c r="N165" s="271"/>
      <c r="O165" s="270"/>
      <c r="P165" s="272">
        <v>5.0000000000000001E-3</v>
      </c>
      <c r="Q165" s="318"/>
      <c r="T165" s="258"/>
    </row>
    <row r="166" spans="1:20" ht="14.1" customHeight="1" x14ac:dyDescent="0.2">
      <c r="A166" s="282">
        <v>123</v>
      </c>
      <c r="B166" s="288" t="s">
        <v>508</v>
      </c>
      <c r="C166" s="45"/>
      <c r="D166" s="537">
        <f>Produksi!F162-Stok!L159+'Impor_Pangan Masuk'!F161-'Ekspor_Pangan Keluar'!F161</f>
        <v>0</v>
      </c>
      <c r="E166" s="538"/>
      <c r="F166" s="538"/>
      <c r="G166" s="538"/>
      <c r="H166" s="537">
        <f t="shared" si="19"/>
        <v>0</v>
      </c>
      <c r="I166" s="538"/>
      <c r="J166" s="537">
        <f t="shared" si="20"/>
        <v>0</v>
      </c>
      <c r="K166" s="438">
        <f t="shared" si="18"/>
        <v>0</v>
      </c>
      <c r="L166" s="440"/>
      <c r="M166" s="271"/>
      <c r="N166" s="271"/>
      <c r="O166" s="270"/>
      <c r="P166" s="272">
        <v>0.01</v>
      </c>
      <c r="Q166" s="319"/>
      <c r="T166" s="258"/>
    </row>
    <row r="167" spans="1:20" ht="14.1" customHeight="1" x14ac:dyDescent="0.2">
      <c r="A167" s="282">
        <v>124</v>
      </c>
      <c r="B167" s="288" t="s">
        <v>509</v>
      </c>
      <c r="C167" s="45"/>
      <c r="D167" s="537">
        <f>Produksi!F163-Stok!L160+'Impor_Pangan Masuk'!F162-'Ekspor_Pangan Keluar'!F162</f>
        <v>5.75101721917334</v>
      </c>
      <c r="E167" s="538"/>
      <c r="F167" s="538"/>
      <c r="G167" s="538"/>
      <c r="H167" s="537">
        <f t="shared" si="19"/>
        <v>5.7510172191733398E-2</v>
      </c>
      <c r="I167" s="538"/>
      <c r="J167" s="537">
        <f t="shared" si="20"/>
        <v>5.6935070469816065</v>
      </c>
      <c r="K167" s="438">
        <f t="shared" si="18"/>
        <v>5.75101721917334</v>
      </c>
      <c r="L167" s="440"/>
      <c r="M167" s="271"/>
      <c r="N167" s="271"/>
      <c r="O167" s="270"/>
      <c r="P167" s="272">
        <v>0.01</v>
      </c>
      <c r="Q167" s="318"/>
      <c r="T167" s="258"/>
    </row>
    <row r="168" spans="1:20" s="52" customFormat="1" ht="14.1" customHeight="1" x14ac:dyDescent="0.2">
      <c r="A168" s="282">
        <v>125</v>
      </c>
      <c r="B168" s="288" t="s">
        <v>510</v>
      </c>
      <c r="C168" s="45"/>
      <c r="D168" s="537">
        <f>Produksi!F164-Stok!L161+'Impor_Pangan Masuk'!F163-'Ekspor_Pangan Keluar'!F163</f>
        <v>36.886230322514997</v>
      </c>
      <c r="E168" s="538"/>
      <c r="F168" s="538"/>
      <c r="G168" s="538"/>
      <c r="H168" s="537">
        <f t="shared" si="19"/>
        <v>0.36886230322514996</v>
      </c>
      <c r="I168" s="538"/>
      <c r="J168" s="537">
        <f t="shared" si="20"/>
        <v>36.517368019289847</v>
      </c>
      <c r="K168" s="438">
        <f t="shared" si="18"/>
        <v>36.886230322514997</v>
      </c>
      <c r="L168" s="440"/>
      <c r="M168" s="271"/>
      <c r="N168" s="269"/>
      <c r="O168" s="273"/>
      <c r="P168" s="273">
        <v>0.01</v>
      </c>
      <c r="Q168" s="318"/>
      <c r="T168" s="258"/>
    </row>
    <row r="169" spans="1:20" s="52" customFormat="1" ht="14.1" customHeight="1" x14ac:dyDescent="0.2">
      <c r="A169" s="282">
        <v>126</v>
      </c>
      <c r="B169" s="288" t="s">
        <v>511</v>
      </c>
      <c r="C169" s="45"/>
      <c r="D169" s="537">
        <f>Produksi!F165-Stok!L162+'Impor_Pangan Masuk'!F164-'Ekspor_Pangan Keluar'!F164</f>
        <v>0</v>
      </c>
      <c r="E169" s="538"/>
      <c r="F169" s="538"/>
      <c r="G169" s="538"/>
      <c r="H169" s="537">
        <f t="shared" si="19"/>
        <v>0</v>
      </c>
      <c r="I169" s="538"/>
      <c r="J169" s="537">
        <f t="shared" si="20"/>
        <v>0</v>
      </c>
      <c r="K169" s="438">
        <f t="shared" ref="K169:K197" si="21">E169+F169+G169+H169+I169+J169</f>
        <v>0</v>
      </c>
      <c r="L169" s="440"/>
      <c r="M169" s="271"/>
      <c r="N169" s="269"/>
      <c r="O169" s="273"/>
      <c r="P169" s="273">
        <v>0.01</v>
      </c>
      <c r="Q169" s="318"/>
      <c r="T169" s="258"/>
    </row>
    <row r="170" spans="1:20" s="52" customFormat="1" ht="14.1" customHeight="1" x14ac:dyDescent="0.2">
      <c r="A170" s="282">
        <v>127</v>
      </c>
      <c r="B170" s="288" t="s">
        <v>28</v>
      </c>
      <c r="C170" s="45"/>
      <c r="D170" s="537">
        <f>Produksi!F166-Stok!L163+'Impor_Pangan Masuk'!F165-'Ekspor_Pangan Keluar'!F165</f>
        <v>0</v>
      </c>
      <c r="E170" s="538"/>
      <c r="F170" s="538"/>
      <c r="G170" s="538"/>
      <c r="H170" s="537">
        <f t="shared" si="19"/>
        <v>0</v>
      </c>
      <c r="I170" s="538"/>
      <c r="J170" s="537">
        <f t="shared" si="20"/>
        <v>0</v>
      </c>
      <c r="K170" s="438">
        <f t="shared" si="21"/>
        <v>0</v>
      </c>
      <c r="L170" s="440"/>
      <c r="M170" s="271"/>
      <c r="N170" s="269"/>
      <c r="O170" s="273"/>
      <c r="P170" s="273">
        <v>0.01</v>
      </c>
      <c r="Q170" s="318"/>
      <c r="T170" s="258"/>
    </row>
    <row r="171" spans="1:20" s="52" customFormat="1" ht="14.1" customHeight="1" x14ac:dyDescent="0.2">
      <c r="A171" s="282">
        <v>128</v>
      </c>
      <c r="B171" s="288" t="s">
        <v>29</v>
      </c>
      <c r="C171" s="45"/>
      <c r="D171" s="537">
        <f>Produksi!F167-Stok!L164+'Impor_Pangan Masuk'!F166-'Ekspor_Pangan Keluar'!F166</f>
        <v>12</v>
      </c>
      <c r="E171" s="538"/>
      <c r="F171" s="538"/>
      <c r="G171" s="538"/>
      <c r="H171" s="537">
        <f t="shared" si="19"/>
        <v>0.12</v>
      </c>
      <c r="I171" s="538"/>
      <c r="J171" s="537">
        <f t="shared" si="20"/>
        <v>11.88</v>
      </c>
      <c r="K171" s="438">
        <f t="shared" si="21"/>
        <v>12</v>
      </c>
      <c r="L171" s="440"/>
      <c r="M171" s="271"/>
      <c r="N171" s="269"/>
      <c r="O171" s="273"/>
      <c r="P171" s="273">
        <v>0.01</v>
      </c>
      <c r="Q171" s="318"/>
      <c r="T171" s="258"/>
    </row>
    <row r="172" spans="1:20" s="52" customFormat="1" ht="14.1" customHeight="1" x14ac:dyDescent="0.2">
      <c r="A172" s="282">
        <v>129</v>
      </c>
      <c r="B172" s="288" t="s">
        <v>30</v>
      </c>
      <c r="C172" s="45"/>
      <c r="D172" s="537">
        <f>Produksi!F168-Stok!L165+'Impor_Pangan Masuk'!F167-'Ekspor_Pangan Keluar'!F167</f>
        <v>61.8886957985045</v>
      </c>
      <c r="E172" s="538"/>
      <c r="F172" s="538"/>
      <c r="G172" s="538"/>
      <c r="H172" s="537">
        <f t="shared" si="19"/>
        <v>0.61888695798504501</v>
      </c>
      <c r="I172" s="538"/>
      <c r="J172" s="537">
        <f t="shared" si="20"/>
        <v>61.269808840519453</v>
      </c>
      <c r="K172" s="438">
        <f t="shared" si="21"/>
        <v>61.8886957985045</v>
      </c>
      <c r="L172" s="440"/>
      <c r="M172" s="269"/>
      <c r="N172" s="269"/>
      <c r="O172" s="273"/>
      <c r="P172" s="273">
        <v>0.01</v>
      </c>
      <c r="Q172" s="318"/>
      <c r="T172" s="258"/>
    </row>
    <row r="173" spans="1:20" ht="14.1" customHeight="1" x14ac:dyDescent="0.2">
      <c r="A173" s="282">
        <v>130</v>
      </c>
      <c r="B173" s="288" t="s">
        <v>31</v>
      </c>
      <c r="C173" s="45"/>
      <c r="D173" s="537">
        <f>Produksi!F169-Stok!L166+'Impor_Pangan Masuk'!F168-'Ekspor_Pangan Keluar'!F168</f>
        <v>68</v>
      </c>
      <c r="E173" s="538"/>
      <c r="F173" s="538"/>
      <c r="G173" s="538"/>
      <c r="H173" s="537">
        <f t="shared" si="19"/>
        <v>0.68</v>
      </c>
      <c r="I173" s="538"/>
      <c r="J173" s="537">
        <f t="shared" si="20"/>
        <v>67.319999999999993</v>
      </c>
      <c r="K173" s="438">
        <f t="shared" si="21"/>
        <v>68</v>
      </c>
      <c r="L173" s="440"/>
      <c r="M173" s="269"/>
      <c r="N173" s="271"/>
      <c r="O173" s="270"/>
      <c r="P173" s="273">
        <v>0.01</v>
      </c>
      <c r="Q173" s="318"/>
      <c r="T173" s="258"/>
    </row>
    <row r="174" spans="1:20" ht="14.1" customHeight="1" x14ac:dyDescent="0.2">
      <c r="A174" s="282">
        <v>131</v>
      </c>
      <c r="B174" s="288" t="s">
        <v>32</v>
      </c>
      <c r="C174" s="45"/>
      <c r="D174" s="537">
        <f>Produksi!F170-Stok!L167+'Impor_Pangan Masuk'!F169-'Ekspor_Pangan Keluar'!F169</f>
        <v>86.943115777277299</v>
      </c>
      <c r="E174" s="538"/>
      <c r="F174" s="538"/>
      <c r="G174" s="538"/>
      <c r="H174" s="537">
        <f t="shared" si="19"/>
        <v>0.86943115777277302</v>
      </c>
      <c r="I174" s="538"/>
      <c r="J174" s="537">
        <f t="shared" si="20"/>
        <v>86.073684619504533</v>
      </c>
      <c r="K174" s="438">
        <f t="shared" si="21"/>
        <v>86.943115777277299</v>
      </c>
      <c r="L174" s="440"/>
      <c r="M174" s="269"/>
      <c r="N174" s="271"/>
      <c r="O174" s="270"/>
      <c r="P174" s="273">
        <v>0.01</v>
      </c>
      <c r="Q174" s="318"/>
      <c r="T174" s="258"/>
    </row>
    <row r="175" spans="1:20" ht="14.1" customHeight="1" x14ac:dyDescent="0.2">
      <c r="A175" s="282">
        <v>132</v>
      </c>
      <c r="B175" s="288" t="s">
        <v>33</v>
      </c>
      <c r="C175" s="45"/>
      <c r="D175" s="537">
        <f>Produksi!F171-Stok!L168+'Impor_Pangan Masuk'!F170-'Ekspor_Pangan Keluar'!F170</f>
        <v>103.33</v>
      </c>
      <c r="E175" s="538"/>
      <c r="F175" s="538"/>
      <c r="G175" s="538"/>
      <c r="H175" s="537">
        <f t="shared" si="19"/>
        <v>1.0333000000000001</v>
      </c>
      <c r="I175" s="538"/>
      <c r="J175" s="537">
        <f t="shared" si="20"/>
        <v>102.2967</v>
      </c>
      <c r="K175" s="438">
        <f t="shared" si="21"/>
        <v>103.33</v>
      </c>
      <c r="L175" s="440"/>
      <c r="M175" s="269"/>
      <c r="N175" s="269"/>
      <c r="O175" s="272"/>
      <c r="P175" s="273">
        <v>0.01</v>
      </c>
      <c r="Q175" s="319"/>
      <c r="T175" s="258"/>
    </row>
    <row r="176" spans="1:20" ht="14.1" customHeight="1" x14ac:dyDescent="0.2">
      <c r="A176" s="282">
        <v>133</v>
      </c>
      <c r="B176" s="288" t="s">
        <v>34</v>
      </c>
      <c r="C176" s="45"/>
      <c r="D176" s="537">
        <f>Produksi!F172-Stok!L169+'Impor_Pangan Masuk'!F171-'Ekspor_Pangan Keluar'!F171</f>
        <v>0</v>
      </c>
      <c r="E176" s="538"/>
      <c r="F176" s="538"/>
      <c r="G176" s="538"/>
      <c r="H176" s="537">
        <f t="shared" si="19"/>
        <v>0</v>
      </c>
      <c r="I176" s="538"/>
      <c r="J176" s="537">
        <f t="shared" si="20"/>
        <v>0</v>
      </c>
      <c r="K176" s="438">
        <f t="shared" si="21"/>
        <v>0</v>
      </c>
      <c r="L176" s="440"/>
      <c r="M176" s="269"/>
      <c r="N176" s="269"/>
      <c r="O176" s="272"/>
      <c r="P176" s="273">
        <v>0.01</v>
      </c>
      <c r="Q176" s="319"/>
      <c r="T176" s="258"/>
    </row>
    <row r="177" spans="1:20" ht="14.1" customHeight="1" x14ac:dyDescent="0.2">
      <c r="A177" s="282">
        <v>134</v>
      </c>
      <c r="B177" s="288" t="s">
        <v>35</v>
      </c>
      <c r="C177" s="45"/>
      <c r="D177" s="537">
        <f>Produksi!F173-Stok!L170+'Impor_Pangan Masuk'!F172-'Ekspor_Pangan Keluar'!F172</f>
        <v>0</v>
      </c>
      <c r="E177" s="538"/>
      <c r="F177" s="538"/>
      <c r="G177" s="538"/>
      <c r="H177" s="537">
        <f t="shared" si="19"/>
        <v>0</v>
      </c>
      <c r="I177" s="538"/>
      <c r="J177" s="537">
        <f t="shared" si="20"/>
        <v>0</v>
      </c>
      <c r="K177" s="438">
        <f t="shared" si="21"/>
        <v>0</v>
      </c>
      <c r="L177" s="440"/>
      <c r="M177" s="271"/>
      <c r="N177" s="271"/>
      <c r="O177" s="270"/>
      <c r="P177" s="273">
        <v>0.01</v>
      </c>
      <c r="Q177" s="319"/>
      <c r="T177" s="258"/>
    </row>
    <row r="178" spans="1:20" ht="14.1" customHeight="1" x14ac:dyDescent="0.2">
      <c r="A178" s="282">
        <v>135</v>
      </c>
      <c r="B178" s="288" t="s">
        <v>36</v>
      </c>
      <c r="C178" s="45"/>
      <c r="D178" s="537">
        <f>Produksi!F174-Stok!L171+'Impor_Pangan Masuk'!F173-'Ekspor_Pangan Keluar'!F173</f>
        <v>0</v>
      </c>
      <c r="E178" s="538"/>
      <c r="F178" s="538"/>
      <c r="G178" s="538"/>
      <c r="H178" s="537">
        <f t="shared" si="19"/>
        <v>0</v>
      </c>
      <c r="I178" s="538"/>
      <c r="J178" s="537">
        <f t="shared" si="20"/>
        <v>0</v>
      </c>
      <c r="K178" s="438">
        <f t="shared" si="21"/>
        <v>0</v>
      </c>
      <c r="L178" s="440"/>
      <c r="M178" s="271"/>
      <c r="N178" s="271"/>
      <c r="O178" s="270"/>
      <c r="P178" s="273">
        <v>0.01</v>
      </c>
      <c r="Q178" s="319"/>
      <c r="T178" s="258"/>
    </row>
    <row r="179" spans="1:20" ht="14.1" customHeight="1" x14ac:dyDescent="0.2">
      <c r="A179" s="282">
        <v>136</v>
      </c>
      <c r="B179" s="288" t="s">
        <v>37</v>
      </c>
      <c r="C179" s="45"/>
      <c r="D179" s="537">
        <f>Produksi!F175-Stok!L172+'Impor_Pangan Masuk'!F174-'Ekspor_Pangan Keluar'!F174</f>
        <v>0</v>
      </c>
      <c r="E179" s="538"/>
      <c r="F179" s="538"/>
      <c r="G179" s="538"/>
      <c r="H179" s="537">
        <f t="shared" si="19"/>
        <v>0</v>
      </c>
      <c r="I179" s="538"/>
      <c r="J179" s="537">
        <f t="shared" si="20"/>
        <v>0</v>
      </c>
      <c r="K179" s="438">
        <f t="shared" si="21"/>
        <v>0</v>
      </c>
      <c r="L179" s="440"/>
      <c r="M179" s="269"/>
      <c r="N179" s="271"/>
      <c r="O179" s="270"/>
      <c r="P179" s="273">
        <v>0.01</v>
      </c>
      <c r="Q179" s="319"/>
      <c r="T179" s="258"/>
    </row>
    <row r="180" spans="1:20" ht="14.1" customHeight="1" x14ac:dyDescent="0.2">
      <c r="A180" s="282">
        <v>137</v>
      </c>
      <c r="B180" s="288" t="s">
        <v>38</v>
      </c>
      <c r="C180" s="45"/>
      <c r="D180" s="537">
        <f>Produksi!F176-Stok!L173+'Impor_Pangan Masuk'!F175-'Ekspor_Pangan Keluar'!F175</f>
        <v>0</v>
      </c>
      <c r="E180" s="538"/>
      <c r="F180" s="538"/>
      <c r="G180" s="538"/>
      <c r="H180" s="537">
        <f t="shared" si="19"/>
        <v>0</v>
      </c>
      <c r="I180" s="538"/>
      <c r="J180" s="537">
        <f t="shared" si="20"/>
        <v>0</v>
      </c>
      <c r="K180" s="438">
        <f t="shared" si="21"/>
        <v>0</v>
      </c>
      <c r="L180" s="440"/>
      <c r="M180" s="269"/>
      <c r="N180" s="271"/>
      <c r="O180" s="270"/>
      <c r="P180" s="273">
        <v>0.01</v>
      </c>
      <c r="Q180" s="319"/>
      <c r="T180" s="258"/>
    </row>
    <row r="181" spans="1:20" ht="14.1" customHeight="1" x14ac:dyDescent="0.2">
      <c r="A181" s="282">
        <v>138</v>
      </c>
      <c r="B181" s="288" t="s">
        <v>512</v>
      </c>
      <c r="C181" s="45"/>
      <c r="D181" s="537">
        <f>Produksi!F177-Stok!L174+'Impor_Pangan Masuk'!F176-'Ekspor_Pangan Keluar'!F176</f>
        <v>2118.0741650550617</v>
      </c>
      <c r="E181" s="538"/>
      <c r="F181" s="538"/>
      <c r="G181" s="538"/>
      <c r="H181" s="537">
        <f t="shared" si="19"/>
        <v>10.590370825275309</v>
      </c>
      <c r="I181" s="538"/>
      <c r="J181" s="537">
        <f t="shared" si="20"/>
        <v>2107.4837942297863</v>
      </c>
      <c r="K181" s="438">
        <f t="shared" si="21"/>
        <v>2118.0741650550617</v>
      </c>
      <c r="L181" s="440"/>
      <c r="M181" s="269"/>
      <c r="N181" s="271"/>
      <c r="O181" s="270"/>
      <c r="P181" s="270">
        <v>5.0000000000000001E-3</v>
      </c>
      <c r="Q181" s="319"/>
      <c r="T181" s="258"/>
    </row>
    <row r="182" spans="1:20" ht="14.1" customHeight="1" x14ac:dyDescent="0.2">
      <c r="A182" s="298"/>
      <c r="B182" s="325"/>
      <c r="C182" s="282"/>
      <c r="D182" s="537">
        <f>Produksi!F178-Stok!L175+'Impor_Pangan Masuk'!F177-'Ekspor_Pangan Keluar'!F177</f>
        <v>0</v>
      </c>
      <c r="E182" s="538"/>
      <c r="F182" s="538"/>
      <c r="G182" s="538"/>
      <c r="H182" s="538"/>
      <c r="I182" s="538"/>
      <c r="J182" s="537">
        <f t="shared" si="20"/>
        <v>0</v>
      </c>
      <c r="K182" s="438">
        <f t="shared" si="21"/>
        <v>0</v>
      </c>
      <c r="L182" s="440"/>
      <c r="M182" s="269"/>
      <c r="N182" s="271"/>
      <c r="O182" s="270"/>
      <c r="P182" s="270"/>
      <c r="Q182" s="319"/>
      <c r="T182" s="258"/>
    </row>
    <row r="183" spans="1:20" ht="14.1" customHeight="1" x14ac:dyDescent="0.2">
      <c r="A183" s="288" t="s">
        <v>39</v>
      </c>
      <c r="B183" s="288"/>
      <c r="C183" s="282"/>
      <c r="D183" s="537">
        <f>Produksi!F179-Stok!L176+'Impor_Pangan Masuk'!F178-'Ekspor_Pangan Keluar'!F178</f>
        <v>0</v>
      </c>
      <c r="E183" s="538"/>
      <c r="F183" s="538"/>
      <c r="G183" s="538"/>
      <c r="H183" s="538"/>
      <c r="I183" s="538"/>
      <c r="J183" s="537">
        <f t="shared" si="20"/>
        <v>0</v>
      </c>
      <c r="K183" s="438">
        <f t="shared" si="21"/>
        <v>0</v>
      </c>
      <c r="L183" s="440"/>
      <c r="M183" s="271"/>
      <c r="N183" s="271"/>
      <c r="O183" s="270"/>
      <c r="P183" s="270"/>
      <c r="Q183" s="319"/>
      <c r="T183" s="258"/>
    </row>
    <row r="184" spans="1:20" ht="14.1" customHeight="1" x14ac:dyDescent="0.2">
      <c r="A184" s="288"/>
      <c r="B184" s="288"/>
      <c r="C184" s="299" t="s">
        <v>40</v>
      </c>
      <c r="D184" s="537">
        <f>Produksi!F180-Stok!L177+'Impor_Pangan Masuk'!F179-'Ekspor_Pangan Keluar'!F179</f>
        <v>0</v>
      </c>
      <c r="E184" s="538"/>
      <c r="F184" s="538"/>
      <c r="G184" s="538"/>
      <c r="H184" s="538"/>
      <c r="I184" s="538"/>
      <c r="J184" s="537">
        <f t="shared" si="20"/>
        <v>0</v>
      </c>
      <c r="K184" s="438">
        <f t="shared" si="21"/>
        <v>0</v>
      </c>
      <c r="L184" s="440"/>
      <c r="M184" s="271"/>
      <c r="N184" s="271"/>
      <c r="O184" s="270"/>
      <c r="P184" s="270"/>
      <c r="Q184" s="319"/>
      <c r="T184" s="258"/>
    </row>
    <row r="185" spans="1:20" ht="14.1" customHeight="1" x14ac:dyDescent="0.2">
      <c r="A185" s="282">
        <v>139</v>
      </c>
      <c r="B185" s="288" t="s">
        <v>513</v>
      </c>
      <c r="C185" s="45"/>
      <c r="D185" s="537">
        <f>Produksi!F181-Stok!L178+'Impor_Pangan Masuk'!F180-'Ekspor_Pangan Keluar'!F180</f>
        <v>0</v>
      </c>
      <c r="E185" s="538"/>
      <c r="F185" s="538"/>
      <c r="G185" s="538"/>
      <c r="H185" s="538"/>
      <c r="I185" s="538"/>
      <c r="J185" s="537">
        <f t="shared" si="20"/>
        <v>0</v>
      </c>
      <c r="K185" s="438">
        <f t="shared" si="21"/>
        <v>0</v>
      </c>
      <c r="L185" s="440"/>
      <c r="M185" s="271"/>
      <c r="N185" s="271"/>
      <c r="O185" s="270"/>
      <c r="P185" s="270"/>
      <c r="Q185" s="322"/>
      <c r="T185" s="258"/>
    </row>
    <row r="186" spans="1:20" ht="14.1" customHeight="1" x14ac:dyDescent="0.2">
      <c r="A186" s="282">
        <v>140</v>
      </c>
      <c r="B186" s="288" t="s">
        <v>514</v>
      </c>
      <c r="C186" s="45"/>
      <c r="D186" s="537">
        <f>Produksi!F182-Stok!L179+'Impor_Pangan Masuk'!F181-'Ekspor_Pangan Keluar'!F181</f>
        <v>0</v>
      </c>
      <c r="E186" s="538"/>
      <c r="F186" s="538"/>
      <c r="G186" s="538"/>
      <c r="H186" s="537">
        <f>D186*P186</f>
        <v>0</v>
      </c>
      <c r="I186" s="538"/>
      <c r="J186" s="537">
        <f t="shared" si="20"/>
        <v>0</v>
      </c>
      <c r="K186" s="438">
        <f t="shared" si="21"/>
        <v>0</v>
      </c>
      <c r="L186" s="440"/>
      <c r="M186" s="271"/>
      <c r="N186" s="271"/>
      <c r="O186" s="270"/>
      <c r="P186" s="270">
        <v>1.5600000000000001E-2</v>
      </c>
      <c r="Q186" s="322"/>
      <c r="T186" s="258"/>
    </row>
    <row r="187" spans="1:20" ht="14.1" customHeight="1" x14ac:dyDescent="0.2">
      <c r="A187" s="282">
        <v>141</v>
      </c>
      <c r="B187" s="288" t="s">
        <v>515</v>
      </c>
      <c r="C187" s="45"/>
      <c r="D187" s="537">
        <f>Produksi!F183-Stok!L180+'Impor_Pangan Masuk'!F182-'Ekspor_Pangan Keluar'!F182</f>
        <v>5860</v>
      </c>
      <c r="E187" s="538"/>
      <c r="F187" s="538"/>
      <c r="G187" s="538"/>
      <c r="H187" s="537">
        <f>D187*P187</f>
        <v>90.83</v>
      </c>
      <c r="I187" s="538"/>
      <c r="J187" s="537">
        <f t="shared" si="20"/>
        <v>5769.17</v>
      </c>
      <c r="K187" s="438">
        <f t="shared" si="21"/>
        <v>5860</v>
      </c>
      <c r="L187" s="440"/>
      <c r="M187" s="271"/>
      <c r="N187" s="271"/>
      <c r="O187" s="270"/>
      <c r="P187" s="270">
        <v>1.55E-2</v>
      </c>
      <c r="Q187" s="322"/>
      <c r="T187" s="258"/>
    </row>
    <row r="188" spans="1:20" ht="14.1" customHeight="1" x14ac:dyDescent="0.2">
      <c r="A188" s="282">
        <v>142</v>
      </c>
      <c r="B188" s="288" t="s">
        <v>41</v>
      </c>
      <c r="C188" s="45"/>
      <c r="D188" s="537">
        <f>Produksi!F184-Stok!L181+'Impor_Pangan Masuk'!F183-'Ekspor_Pangan Keluar'!F183</f>
        <v>0</v>
      </c>
      <c r="E188" s="538"/>
      <c r="F188" s="538"/>
      <c r="G188" s="538"/>
      <c r="H188" s="538"/>
      <c r="I188" s="538"/>
      <c r="J188" s="537">
        <f t="shared" si="20"/>
        <v>0</v>
      </c>
      <c r="K188" s="438">
        <f t="shared" si="21"/>
        <v>0</v>
      </c>
      <c r="L188" s="440"/>
      <c r="M188" s="271"/>
      <c r="N188" s="271"/>
      <c r="O188" s="270"/>
      <c r="P188" s="270"/>
      <c r="Q188" s="322"/>
      <c r="T188" s="258"/>
    </row>
    <row r="189" spans="1:20" ht="14.1" customHeight="1" x14ac:dyDescent="0.2">
      <c r="A189" s="282">
        <v>143</v>
      </c>
      <c r="B189" s="288" t="s">
        <v>42</v>
      </c>
      <c r="C189" s="45"/>
      <c r="D189" s="537">
        <f>Produksi!F185-Stok!L182+'Impor_Pangan Masuk'!F184-'Ekspor_Pangan Keluar'!F184</f>
        <v>0</v>
      </c>
      <c r="E189" s="538"/>
      <c r="F189" s="538"/>
      <c r="G189" s="538"/>
      <c r="H189" s="538"/>
      <c r="I189" s="538"/>
      <c r="J189" s="537">
        <f t="shared" si="20"/>
        <v>0</v>
      </c>
      <c r="K189" s="438">
        <f t="shared" si="21"/>
        <v>0</v>
      </c>
      <c r="L189" s="440"/>
      <c r="M189" s="271"/>
      <c r="N189" s="271"/>
      <c r="O189" s="270"/>
      <c r="P189" s="270"/>
      <c r="Q189" s="322"/>
      <c r="T189" s="258"/>
    </row>
    <row r="190" spans="1:20" ht="14.1" customHeight="1" x14ac:dyDescent="0.2">
      <c r="A190" s="282">
        <v>144</v>
      </c>
      <c r="B190" s="288" t="s">
        <v>43</v>
      </c>
      <c r="C190" s="45"/>
      <c r="D190" s="537">
        <f>Produksi!F186-Stok!L183+'Impor_Pangan Masuk'!F185-'Ekspor_Pangan Keluar'!F185</f>
        <v>0</v>
      </c>
      <c r="E190" s="538"/>
      <c r="F190" s="538"/>
      <c r="G190" s="538"/>
      <c r="H190" s="538"/>
      <c r="I190" s="538"/>
      <c r="J190" s="537">
        <f t="shared" si="20"/>
        <v>0</v>
      </c>
      <c r="K190" s="438">
        <f t="shared" si="21"/>
        <v>0</v>
      </c>
      <c r="L190" s="440"/>
      <c r="M190" s="271"/>
      <c r="N190" s="269"/>
      <c r="O190" s="314"/>
      <c r="P190" s="270"/>
      <c r="Q190" s="322"/>
      <c r="T190" s="258"/>
    </row>
    <row r="191" spans="1:20" ht="14.1" customHeight="1" x14ac:dyDescent="0.2">
      <c r="A191" s="282">
        <v>145</v>
      </c>
      <c r="B191" s="288" t="s">
        <v>44</v>
      </c>
      <c r="C191" s="45"/>
      <c r="D191" s="537">
        <f>Produksi!F187-Stok!L184+'Impor_Pangan Masuk'!F186-'Ekspor_Pangan Keluar'!F186</f>
        <v>0</v>
      </c>
      <c r="E191" s="538"/>
      <c r="F191" s="538"/>
      <c r="G191" s="538"/>
      <c r="H191" s="538"/>
      <c r="I191" s="538"/>
      <c r="J191" s="537">
        <f t="shared" si="20"/>
        <v>0</v>
      </c>
      <c r="K191" s="438">
        <f t="shared" si="21"/>
        <v>0</v>
      </c>
      <c r="L191" s="440"/>
      <c r="M191" s="271"/>
      <c r="N191" s="269"/>
      <c r="O191" s="314"/>
      <c r="P191" s="270"/>
      <c r="Q191" s="322"/>
      <c r="T191" s="258"/>
    </row>
    <row r="192" spans="1:20" ht="14.1" customHeight="1" x14ac:dyDescent="0.2">
      <c r="A192" s="282"/>
      <c r="B192" s="288"/>
      <c r="C192" s="45"/>
      <c r="D192" s="537">
        <f>Produksi!F188-Stok!L185+'Impor_Pangan Masuk'!F187-'Ekspor_Pangan Keluar'!F187</f>
        <v>0</v>
      </c>
      <c r="E192" s="538"/>
      <c r="F192" s="538"/>
      <c r="G192" s="538"/>
      <c r="H192" s="538"/>
      <c r="I192" s="538"/>
      <c r="J192" s="537">
        <f t="shared" si="20"/>
        <v>0</v>
      </c>
      <c r="K192" s="438">
        <f t="shared" si="21"/>
        <v>0</v>
      </c>
      <c r="L192" s="440"/>
      <c r="M192" s="271"/>
      <c r="N192" s="269"/>
      <c r="O192" s="314"/>
      <c r="P192" s="270"/>
      <c r="Q192" s="322"/>
      <c r="T192" s="258"/>
    </row>
    <row r="193" spans="1:20" ht="14.1" customHeight="1" x14ac:dyDescent="0.2">
      <c r="A193" s="282">
        <v>146</v>
      </c>
      <c r="B193" s="288" t="s">
        <v>516</v>
      </c>
      <c r="C193" s="45"/>
      <c r="D193" s="537">
        <f>Produksi!F189-Stok!L186+'Impor_Pangan Masuk'!F188-'Ekspor_Pangan Keluar'!F188</f>
        <v>162.37468295006403</v>
      </c>
      <c r="E193" s="538"/>
      <c r="F193" s="538"/>
      <c r="G193" s="538"/>
      <c r="H193" s="538"/>
      <c r="I193" s="538"/>
      <c r="J193" s="537">
        <f t="shared" si="20"/>
        <v>162.37468295006403</v>
      </c>
      <c r="K193" s="438">
        <f t="shared" si="21"/>
        <v>162.37468295006403</v>
      </c>
      <c r="L193" s="440"/>
      <c r="M193" s="269"/>
      <c r="N193" s="269"/>
      <c r="O193" s="314"/>
      <c r="P193" s="270"/>
      <c r="Q193" s="322"/>
      <c r="T193" s="258"/>
    </row>
    <row r="194" spans="1:20" ht="14.1" customHeight="1" x14ac:dyDescent="0.2">
      <c r="A194" s="282">
        <v>147</v>
      </c>
      <c r="B194" s="288" t="s">
        <v>517</v>
      </c>
      <c r="C194" s="45"/>
      <c r="D194" s="537">
        <f>Produksi!F190-Stok!L187+'Impor_Pangan Masuk'!F189-'Ekspor_Pangan Keluar'!F189</f>
        <v>19.068826405530761</v>
      </c>
      <c r="E194" s="538"/>
      <c r="F194" s="538"/>
      <c r="G194" s="538"/>
      <c r="H194" s="538"/>
      <c r="I194" s="538"/>
      <c r="J194" s="537">
        <f t="shared" si="20"/>
        <v>19.068826405530761</v>
      </c>
      <c r="K194" s="438">
        <f t="shared" si="21"/>
        <v>19.068826405530761</v>
      </c>
      <c r="L194" s="440"/>
      <c r="M194" s="269"/>
      <c r="N194" s="269"/>
      <c r="O194" s="314"/>
      <c r="P194" s="270"/>
      <c r="Q194" s="322"/>
    </row>
    <row r="195" spans="1:20" ht="14.1" customHeight="1" x14ac:dyDescent="0.2">
      <c r="A195" s="282">
        <v>148</v>
      </c>
      <c r="B195" s="288" t="s">
        <v>518</v>
      </c>
      <c r="C195" s="45"/>
      <c r="D195" s="537">
        <f>Produksi!F191-Stok!L188+'Impor_Pangan Masuk'!F190-'Ekspor_Pangan Keluar'!F190</f>
        <v>5.0385487346193996</v>
      </c>
      <c r="E195" s="538"/>
      <c r="F195" s="538"/>
      <c r="G195" s="538"/>
      <c r="H195" s="538"/>
      <c r="I195" s="538"/>
      <c r="J195" s="537">
        <f t="shared" si="20"/>
        <v>5.0385487346193996</v>
      </c>
      <c r="K195" s="438">
        <f t="shared" si="21"/>
        <v>5.0385487346193996</v>
      </c>
      <c r="L195" s="440"/>
      <c r="M195" s="269"/>
      <c r="N195" s="269"/>
      <c r="O195" s="314"/>
      <c r="P195" s="270"/>
      <c r="Q195" s="322"/>
    </row>
    <row r="196" spans="1:20" ht="14.1" customHeight="1" x14ac:dyDescent="0.2">
      <c r="A196" s="282">
        <v>149</v>
      </c>
      <c r="B196" s="288" t="s">
        <v>519</v>
      </c>
      <c r="C196" s="45"/>
      <c r="D196" s="537">
        <f>Produksi!F192-Stok!L189+'Impor_Pangan Masuk'!F191-'Ekspor_Pangan Keluar'!F191</f>
        <v>0</v>
      </c>
      <c r="E196" s="538"/>
      <c r="F196" s="538"/>
      <c r="G196" s="538"/>
      <c r="H196" s="538"/>
      <c r="I196" s="538"/>
      <c r="J196" s="537">
        <f t="shared" si="20"/>
        <v>0</v>
      </c>
      <c r="K196" s="438">
        <f t="shared" si="21"/>
        <v>0</v>
      </c>
      <c r="L196" s="440"/>
      <c r="M196" s="269"/>
      <c r="N196" s="314"/>
      <c r="O196" s="314"/>
      <c r="P196" s="314"/>
      <c r="Q196" s="322"/>
    </row>
    <row r="197" spans="1:20" ht="14.1" customHeight="1" x14ac:dyDescent="0.2">
      <c r="A197" s="282">
        <v>150</v>
      </c>
      <c r="B197" s="288" t="s">
        <v>520</v>
      </c>
      <c r="C197" s="45"/>
      <c r="D197" s="537">
        <f>Produksi!F193-Stok!L190+'Impor_Pangan Masuk'!F192-'Ekspor_Pangan Keluar'!F192</f>
        <v>0</v>
      </c>
      <c r="E197" s="538"/>
      <c r="F197" s="538"/>
      <c r="G197" s="538"/>
      <c r="H197" s="538"/>
      <c r="I197" s="538"/>
      <c r="J197" s="537">
        <f t="shared" si="20"/>
        <v>0</v>
      </c>
      <c r="K197" s="438">
        <f t="shared" si="21"/>
        <v>0</v>
      </c>
      <c r="L197" s="440"/>
      <c r="M197" s="269"/>
      <c r="N197" s="314"/>
      <c r="O197" s="314"/>
      <c r="P197" s="314"/>
      <c r="Q197" s="322"/>
    </row>
    <row r="198" spans="1:20" ht="14.1" customHeight="1" x14ac:dyDescent="0.2">
      <c r="C198" s="255"/>
    </row>
    <row r="199" spans="1:20" ht="14.1" customHeight="1" x14ac:dyDescent="0.2"/>
    <row r="200" spans="1:20" ht="14.1" customHeight="1" x14ac:dyDescent="0.2"/>
    <row r="201" spans="1:20" ht="14.1" customHeight="1" x14ac:dyDescent="0.2"/>
    <row r="202" spans="1:20" ht="14.1" customHeight="1" x14ac:dyDescent="0.2"/>
  </sheetData>
  <mergeCells count="36">
    <mergeCell ref="R5:R9"/>
    <mergeCell ref="S5:S9"/>
    <mergeCell ref="R10:S10"/>
    <mergeCell ref="K5:K10"/>
    <mergeCell ref="A13:A14"/>
    <mergeCell ref="A11:C11"/>
    <mergeCell ref="M8:M10"/>
    <mergeCell ref="N8:N10"/>
    <mergeCell ref="P8:P10"/>
    <mergeCell ref="T5:T10"/>
    <mergeCell ref="M4:Q4"/>
    <mergeCell ref="A5:C7"/>
    <mergeCell ref="E5:J5"/>
    <mergeCell ref="M5:Q5"/>
    <mergeCell ref="D6:D10"/>
    <mergeCell ref="E6:E7"/>
    <mergeCell ref="H6:H7"/>
    <mergeCell ref="G8:G10"/>
    <mergeCell ref="H8:H10"/>
    <mergeCell ref="O8:O10"/>
    <mergeCell ref="Q6:Q7"/>
    <mergeCell ref="Q8:Q10"/>
    <mergeCell ref="M6:M7"/>
    <mergeCell ref="N6:N7"/>
    <mergeCell ref="P6:P7"/>
    <mergeCell ref="A2:J2"/>
    <mergeCell ref="A3:J3"/>
    <mergeCell ref="D4:E4"/>
    <mergeCell ref="I8:I10"/>
    <mergeCell ref="J8:J10"/>
    <mergeCell ref="F6:F7"/>
    <mergeCell ref="I6:I7"/>
    <mergeCell ref="A8:C10"/>
    <mergeCell ref="E8:E10"/>
    <mergeCell ref="F8:F10"/>
    <mergeCell ref="I4:J4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62" firstPageNumber="58" fitToHeight="0" pageOrder="overThenDown" orientation="portrait" useFirstPageNumber="1" horizontalDpi="360" verticalDpi="360" r:id="rId1"/>
  <headerFooter>
    <oddFooter>&amp;LNeraca Bahan Makanan  2016-2018&amp;C&amp;P</oddFooter>
  </headerFooter>
  <rowBreaks count="4" manualBreakCount="4">
    <brk id="54" max="19" man="1"/>
    <brk id="87" max="19" man="1"/>
    <brk id="119" max="19" man="1"/>
    <brk id="135" max="19" man="1"/>
  </rowBreaks>
  <colBreaks count="1" manualBreakCount="1">
    <brk id="4" max="198" man="1"/>
  </colBreaks>
  <ignoredErrors>
    <ignoredError sqref="H23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2"/>
  <sheetViews>
    <sheetView tabSelected="1" view="pageLayout" zoomScaleNormal="80" zoomScaleSheetLayoutView="93" workbookViewId="0">
      <selection activeCell="H51" sqref="H51"/>
    </sheetView>
  </sheetViews>
  <sheetFormatPr defaultColWidth="9" defaultRowHeight="12.75" x14ac:dyDescent="0.2"/>
  <cols>
    <col min="1" max="1" width="3.5703125" style="327" customWidth="1"/>
    <col min="2" max="2" width="1.42578125" style="60" customWidth="1"/>
    <col min="3" max="3" width="31.85546875" style="60" customWidth="1"/>
    <col min="4" max="14" width="12.140625" style="62" customWidth="1"/>
    <col min="15" max="16" width="9.140625" style="63" customWidth="1"/>
    <col min="17" max="17" width="13.7109375" style="62" bestFit="1" customWidth="1"/>
    <col min="18" max="18" width="10.28515625" style="63" customWidth="1"/>
    <col min="19" max="19" width="10.140625" style="63" customWidth="1"/>
    <col min="20" max="20" width="9" style="462"/>
    <col min="21" max="22" width="9" style="376"/>
    <col min="23" max="23" width="9.7109375" style="376" customWidth="1"/>
    <col min="24" max="29" width="9" style="65" hidden="1" customWidth="1"/>
    <col min="30" max="30" width="7.85546875" style="60" hidden="1" customWidth="1"/>
    <col min="31" max="34" width="4.5703125" style="60" hidden="1" customWidth="1"/>
    <col min="35" max="38" width="0" style="60" hidden="1" customWidth="1"/>
    <col min="39" max="229" width="9" style="60"/>
    <col min="230" max="230" width="1.42578125" style="60" customWidth="1"/>
    <col min="231" max="231" width="31.85546875" style="60" customWidth="1"/>
    <col min="232" max="232" width="8.28515625" style="60" customWidth="1"/>
    <col min="233" max="233" width="9.7109375" style="60" customWidth="1"/>
    <col min="234" max="234" width="8.28515625" style="60" customWidth="1"/>
    <col min="235" max="235" width="6.5703125" style="60" customWidth="1"/>
    <col min="236" max="236" width="14" style="60" customWidth="1"/>
    <col min="237" max="237" width="6.7109375" style="60" customWidth="1"/>
    <col min="238" max="238" width="8.85546875" style="60" customWidth="1"/>
    <col min="239" max="239" width="7.7109375" style="60" customWidth="1"/>
    <col min="240" max="240" width="7.28515625" style="60" customWidth="1"/>
    <col min="241" max="241" width="7.7109375" style="60" customWidth="1"/>
    <col min="242" max="242" width="8.28515625" style="60" customWidth="1"/>
    <col min="243" max="244" width="6.7109375" style="60" customWidth="1"/>
    <col min="245" max="245" width="8.85546875" style="60" customWidth="1"/>
    <col min="246" max="247" width="7.5703125" style="60" customWidth="1"/>
    <col min="248" max="248" width="7.7109375" style="60" customWidth="1"/>
    <col min="249" max="250" width="8.28515625" style="60" customWidth="1"/>
    <col min="251" max="251" width="6.28515625" style="60" customWidth="1"/>
    <col min="252" max="253" width="8.7109375" style="60" customWidth="1"/>
    <col min="254" max="254" width="9.5703125" style="60" customWidth="1"/>
    <col min="255" max="255" width="8.7109375" style="60" customWidth="1"/>
    <col min="256" max="256" width="14.5703125" style="60" customWidth="1"/>
    <col min="257" max="257" width="8.7109375" style="60" customWidth="1"/>
    <col min="258" max="258" width="10.42578125" style="60" customWidth="1"/>
    <col min="259" max="261" width="8.7109375" style="60" customWidth="1"/>
    <col min="262" max="262" width="9" style="60"/>
    <col min="263" max="264" width="8.7109375" style="60" customWidth="1"/>
    <col min="265" max="265" width="4.28515625" style="60" customWidth="1"/>
    <col min="266" max="266" width="7" style="60" customWidth="1"/>
    <col min="267" max="267" width="4.28515625" style="60" customWidth="1"/>
    <col min="268" max="268" width="7.7109375" style="60" customWidth="1"/>
    <col min="269" max="485" width="9" style="60"/>
    <col min="486" max="486" width="1.42578125" style="60" customWidth="1"/>
    <col min="487" max="487" width="31.85546875" style="60" customWidth="1"/>
    <col min="488" max="488" width="8.28515625" style="60" customWidth="1"/>
    <col min="489" max="489" width="9.7109375" style="60" customWidth="1"/>
    <col min="490" max="490" width="8.28515625" style="60" customWidth="1"/>
    <col min="491" max="491" width="6.5703125" style="60" customWidth="1"/>
    <col min="492" max="492" width="14" style="60" customWidth="1"/>
    <col min="493" max="493" width="6.7109375" style="60" customWidth="1"/>
    <col min="494" max="494" width="8.85546875" style="60" customWidth="1"/>
    <col min="495" max="495" width="7.7109375" style="60" customWidth="1"/>
    <col min="496" max="496" width="7.28515625" style="60" customWidth="1"/>
    <col min="497" max="497" width="7.7109375" style="60" customWidth="1"/>
    <col min="498" max="498" width="8.28515625" style="60" customWidth="1"/>
    <col min="499" max="500" width="6.7109375" style="60" customWidth="1"/>
    <col min="501" max="501" width="8.85546875" style="60" customWidth="1"/>
    <col min="502" max="503" width="7.5703125" style="60" customWidth="1"/>
    <col min="504" max="504" width="7.7109375" style="60" customWidth="1"/>
    <col min="505" max="506" width="8.28515625" style="60" customWidth="1"/>
    <col min="507" max="507" width="6.28515625" style="60" customWidth="1"/>
    <col min="508" max="509" width="8.7109375" style="60" customWidth="1"/>
    <col min="510" max="510" width="9.5703125" style="60" customWidth="1"/>
    <col min="511" max="511" width="8.7109375" style="60" customWidth="1"/>
    <col min="512" max="512" width="14.5703125" style="60" customWidth="1"/>
    <col min="513" max="513" width="8.7109375" style="60" customWidth="1"/>
    <col min="514" max="514" width="10.42578125" style="60" customWidth="1"/>
    <col min="515" max="517" width="8.7109375" style="60" customWidth="1"/>
    <col min="518" max="518" width="9" style="60"/>
    <col min="519" max="520" width="8.7109375" style="60" customWidth="1"/>
    <col min="521" max="521" width="4.28515625" style="60" customWidth="1"/>
    <col min="522" max="522" width="7" style="60" customWidth="1"/>
    <col min="523" max="523" width="4.28515625" style="60" customWidth="1"/>
    <col min="524" max="524" width="7.7109375" style="60" customWidth="1"/>
    <col min="525" max="741" width="9" style="60"/>
    <col min="742" max="742" width="1.42578125" style="60" customWidth="1"/>
    <col min="743" max="743" width="31.85546875" style="60" customWidth="1"/>
    <col min="744" max="744" width="8.28515625" style="60" customWidth="1"/>
    <col min="745" max="745" width="9.7109375" style="60" customWidth="1"/>
    <col min="746" max="746" width="8.28515625" style="60" customWidth="1"/>
    <col min="747" max="747" width="6.5703125" style="60" customWidth="1"/>
    <col min="748" max="748" width="14" style="60" customWidth="1"/>
    <col min="749" max="749" width="6.7109375" style="60" customWidth="1"/>
    <col min="750" max="750" width="8.85546875" style="60" customWidth="1"/>
    <col min="751" max="751" width="7.7109375" style="60" customWidth="1"/>
    <col min="752" max="752" width="7.28515625" style="60" customWidth="1"/>
    <col min="753" max="753" width="7.7109375" style="60" customWidth="1"/>
    <col min="754" max="754" width="8.28515625" style="60" customWidth="1"/>
    <col min="755" max="756" width="6.7109375" style="60" customWidth="1"/>
    <col min="757" max="757" width="8.85546875" style="60" customWidth="1"/>
    <col min="758" max="759" width="7.5703125" style="60" customWidth="1"/>
    <col min="760" max="760" width="7.7109375" style="60" customWidth="1"/>
    <col min="761" max="762" width="8.28515625" style="60" customWidth="1"/>
    <col min="763" max="763" width="6.28515625" style="60" customWidth="1"/>
    <col min="764" max="765" width="8.7109375" style="60" customWidth="1"/>
    <col min="766" max="766" width="9.5703125" style="60" customWidth="1"/>
    <col min="767" max="767" width="8.7109375" style="60" customWidth="1"/>
    <col min="768" max="768" width="14.5703125" style="60" customWidth="1"/>
    <col min="769" max="769" width="8.7109375" style="60" customWidth="1"/>
    <col min="770" max="770" width="10.42578125" style="60" customWidth="1"/>
    <col min="771" max="773" width="8.7109375" style="60" customWidth="1"/>
    <col min="774" max="774" width="9" style="60"/>
    <col min="775" max="776" width="8.7109375" style="60" customWidth="1"/>
    <col min="777" max="777" width="4.28515625" style="60" customWidth="1"/>
    <col min="778" max="778" width="7" style="60" customWidth="1"/>
    <col min="779" max="779" width="4.28515625" style="60" customWidth="1"/>
    <col min="780" max="780" width="7.7109375" style="60" customWidth="1"/>
    <col min="781" max="997" width="9" style="60"/>
    <col min="998" max="998" width="1.42578125" style="60" customWidth="1"/>
    <col min="999" max="999" width="31.85546875" style="60" customWidth="1"/>
    <col min="1000" max="1000" width="8.28515625" style="60" customWidth="1"/>
    <col min="1001" max="1001" width="9.7109375" style="60" customWidth="1"/>
    <col min="1002" max="1002" width="8.28515625" style="60" customWidth="1"/>
    <col min="1003" max="1003" width="6.5703125" style="60" customWidth="1"/>
    <col min="1004" max="1004" width="14" style="60" customWidth="1"/>
    <col min="1005" max="1005" width="6.7109375" style="60" customWidth="1"/>
    <col min="1006" max="1006" width="8.85546875" style="60" customWidth="1"/>
    <col min="1007" max="1007" width="7.7109375" style="60" customWidth="1"/>
    <col min="1008" max="1008" width="7.28515625" style="60" customWidth="1"/>
    <col min="1009" max="1009" width="7.7109375" style="60" customWidth="1"/>
    <col min="1010" max="1010" width="8.28515625" style="60" customWidth="1"/>
    <col min="1011" max="1012" width="6.7109375" style="60" customWidth="1"/>
    <col min="1013" max="1013" width="8.85546875" style="60" customWidth="1"/>
    <col min="1014" max="1015" width="7.5703125" style="60" customWidth="1"/>
    <col min="1016" max="1016" width="7.7109375" style="60" customWidth="1"/>
    <col min="1017" max="1018" width="8.28515625" style="60" customWidth="1"/>
    <col min="1019" max="1019" width="6.28515625" style="60" customWidth="1"/>
    <col min="1020" max="1021" width="8.7109375" style="60" customWidth="1"/>
    <col min="1022" max="1022" width="9.5703125" style="60" customWidth="1"/>
    <col min="1023" max="1023" width="8.7109375" style="60" customWidth="1"/>
    <col min="1024" max="1024" width="14.5703125" style="60" customWidth="1"/>
    <col min="1025" max="1025" width="8.7109375" style="60" customWidth="1"/>
    <col min="1026" max="1026" width="10.42578125" style="60" customWidth="1"/>
    <col min="1027" max="1029" width="8.7109375" style="60" customWidth="1"/>
    <col min="1030" max="1030" width="9" style="60"/>
    <col min="1031" max="1032" width="8.7109375" style="60" customWidth="1"/>
    <col min="1033" max="1033" width="4.28515625" style="60" customWidth="1"/>
    <col min="1034" max="1034" width="7" style="60" customWidth="1"/>
    <col min="1035" max="1035" width="4.28515625" style="60" customWidth="1"/>
    <col min="1036" max="1036" width="7.7109375" style="60" customWidth="1"/>
    <col min="1037" max="1253" width="9" style="60"/>
    <col min="1254" max="1254" width="1.42578125" style="60" customWidth="1"/>
    <col min="1255" max="1255" width="31.85546875" style="60" customWidth="1"/>
    <col min="1256" max="1256" width="8.28515625" style="60" customWidth="1"/>
    <col min="1257" max="1257" width="9.7109375" style="60" customWidth="1"/>
    <col min="1258" max="1258" width="8.28515625" style="60" customWidth="1"/>
    <col min="1259" max="1259" width="6.5703125" style="60" customWidth="1"/>
    <col min="1260" max="1260" width="14" style="60" customWidth="1"/>
    <col min="1261" max="1261" width="6.7109375" style="60" customWidth="1"/>
    <col min="1262" max="1262" width="8.85546875" style="60" customWidth="1"/>
    <col min="1263" max="1263" width="7.7109375" style="60" customWidth="1"/>
    <col min="1264" max="1264" width="7.28515625" style="60" customWidth="1"/>
    <col min="1265" max="1265" width="7.7109375" style="60" customWidth="1"/>
    <col min="1266" max="1266" width="8.28515625" style="60" customWidth="1"/>
    <col min="1267" max="1268" width="6.7109375" style="60" customWidth="1"/>
    <col min="1269" max="1269" width="8.85546875" style="60" customWidth="1"/>
    <col min="1270" max="1271" width="7.5703125" style="60" customWidth="1"/>
    <col min="1272" max="1272" width="7.7109375" style="60" customWidth="1"/>
    <col min="1273" max="1274" width="8.28515625" style="60" customWidth="1"/>
    <col min="1275" max="1275" width="6.28515625" style="60" customWidth="1"/>
    <col min="1276" max="1277" width="8.7109375" style="60" customWidth="1"/>
    <col min="1278" max="1278" width="9.5703125" style="60" customWidth="1"/>
    <col min="1279" max="1279" width="8.7109375" style="60" customWidth="1"/>
    <col min="1280" max="1280" width="14.5703125" style="60" customWidth="1"/>
    <col min="1281" max="1281" width="8.7109375" style="60" customWidth="1"/>
    <col min="1282" max="1282" width="10.42578125" style="60" customWidth="1"/>
    <col min="1283" max="1285" width="8.7109375" style="60" customWidth="1"/>
    <col min="1286" max="1286" width="9" style="60"/>
    <col min="1287" max="1288" width="8.7109375" style="60" customWidth="1"/>
    <col min="1289" max="1289" width="4.28515625" style="60" customWidth="1"/>
    <col min="1290" max="1290" width="7" style="60" customWidth="1"/>
    <col min="1291" max="1291" width="4.28515625" style="60" customWidth="1"/>
    <col min="1292" max="1292" width="7.7109375" style="60" customWidth="1"/>
    <col min="1293" max="1509" width="9" style="60"/>
    <col min="1510" max="1510" width="1.42578125" style="60" customWidth="1"/>
    <col min="1511" max="1511" width="31.85546875" style="60" customWidth="1"/>
    <col min="1512" max="1512" width="8.28515625" style="60" customWidth="1"/>
    <col min="1513" max="1513" width="9.7109375" style="60" customWidth="1"/>
    <col min="1514" max="1514" width="8.28515625" style="60" customWidth="1"/>
    <col min="1515" max="1515" width="6.5703125" style="60" customWidth="1"/>
    <col min="1516" max="1516" width="14" style="60" customWidth="1"/>
    <col min="1517" max="1517" width="6.7109375" style="60" customWidth="1"/>
    <col min="1518" max="1518" width="8.85546875" style="60" customWidth="1"/>
    <col min="1519" max="1519" width="7.7109375" style="60" customWidth="1"/>
    <col min="1520" max="1520" width="7.28515625" style="60" customWidth="1"/>
    <col min="1521" max="1521" width="7.7109375" style="60" customWidth="1"/>
    <col min="1522" max="1522" width="8.28515625" style="60" customWidth="1"/>
    <col min="1523" max="1524" width="6.7109375" style="60" customWidth="1"/>
    <col min="1525" max="1525" width="8.85546875" style="60" customWidth="1"/>
    <col min="1526" max="1527" width="7.5703125" style="60" customWidth="1"/>
    <col min="1528" max="1528" width="7.7109375" style="60" customWidth="1"/>
    <col min="1529" max="1530" width="8.28515625" style="60" customWidth="1"/>
    <col min="1531" max="1531" width="6.28515625" style="60" customWidth="1"/>
    <col min="1532" max="1533" width="8.7109375" style="60" customWidth="1"/>
    <col min="1534" max="1534" width="9.5703125" style="60" customWidth="1"/>
    <col min="1535" max="1535" width="8.7109375" style="60" customWidth="1"/>
    <col min="1536" max="1536" width="14.5703125" style="60" customWidth="1"/>
    <col min="1537" max="1537" width="8.7109375" style="60" customWidth="1"/>
    <col min="1538" max="1538" width="10.42578125" style="60" customWidth="1"/>
    <col min="1539" max="1541" width="8.7109375" style="60" customWidth="1"/>
    <col min="1542" max="1542" width="9" style="60"/>
    <col min="1543" max="1544" width="8.7109375" style="60" customWidth="1"/>
    <col min="1545" max="1545" width="4.28515625" style="60" customWidth="1"/>
    <col min="1546" max="1546" width="7" style="60" customWidth="1"/>
    <col min="1547" max="1547" width="4.28515625" style="60" customWidth="1"/>
    <col min="1548" max="1548" width="7.7109375" style="60" customWidth="1"/>
    <col min="1549" max="1765" width="9" style="60"/>
    <col min="1766" max="1766" width="1.42578125" style="60" customWidth="1"/>
    <col min="1767" max="1767" width="31.85546875" style="60" customWidth="1"/>
    <col min="1768" max="1768" width="8.28515625" style="60" customWidth="1"/>
    <col min="1769" max="1769" width="9.7109375" style="60" customWidth="1"/>
    <col min="1770" max="1770" width="8.28515625" style="60" customWidth="1"/>
    <col min="1771" max="1771" width="6.5703125" style="60" customWidth="1"/>
    <col min="1772" max="1772" width="14" style="60" customWidth="1"/>
    <col min="1773" max="1773" width="6.7109375" style="60" customWidth="1"/>
    <col min="1774" max="1774" width="8.85546875" style="60" customWidth="1"/>
    <col min="1775" max="1775" width="7.7109375" style="60" customWidth="1"/>
    <col min="1776" max="1776" width="7.28515625" style="60" customWidth="1"/>
    <col min="1777" max="1777" width="7.7109375" style="60" customWidth="1"/>
    <col min="1778" max="1778" width="8.28515625" style="60" customWidth="1"/>
    <col min="1779" max="1780" width="6.7109375" style="60" customWidth="1"/>
    <col min="1781" max="1781" width="8.85546875" style="60" customWidth="1"/>
    <col min="1782" max="1783" width="7.5703125" style="60" customWidth="1"/>
    <col min="1784" max="1784" width="7.7109375" style="60" customWidth="1"/>
    <col min="1785" max="1786" width="8.28515625" style="60" customWidth="1"/>
    <col min="1787" max="1787" width="6.28515625" style="60" customWidth="1"/>
    <col min="1788" max="1789" width="8.7109375" style="60" customWidth="1"/>
    <col min="1790" max="1790" width="9.5703125" style="60" customWidth="1"/>
    <col min="1791" max="1791" width="8.7109375" style="60" customWidth="1"/>
    <col min="1792" max="1792" width="14.5703125" style="60" customWidth="1"/>
    <col min="1793" max="1793" width="8.7109375" style="60" customWidth="1"/>
    <col min="1794" max="1794" width="10.42578125" style="60" customWidth="1"/>
    <col min="1795" max="1797" width="8.7109375" style="60" customWidth="1"/>
    <col min="1798" max="1798" width="9" style="60"/>
    <col min="1799" max="1800" width="8.7109375" style="60" customWidth="1"/>
    <col min="1801" max="1801" width="4.28515625" style="60" customWidth="1"/>
    <col min="1802" max="1802" width="7" style="60" customWidth="1"/>
    <col min="1803" max="1803" width="4.28515625" style="60" customWidth="1"/>
    <col min="1804" max="1804" width="7.7109375" style="60" customWidth="1"/>
    <col min="1805" max="2021" width="9" style="60"/>
    <col min="2022" max="2022" width="1.42578125" style="60" customWidth="1"/>
    <col min="2023" max="2023" width="31.85546875" style="60" customWidth="1"/>
    <col min="2024" max="2024" width="8.28515625" style="60" customWidth="1"/>
    <col min="2025" max="2025" width="9.7109375" style="60" customWidth="1"/>
    <col min="2026" max="2026" width="8.28515625" style="60" customWidth="1"/>
    <col min="2027" max="2027" width="6.5703125" style="60" customWidth="1"/>
    <col min="2028" max="2028" width="14" style="60" customWidth="1"/>
    <col min="2029" max="2029" width="6.7109375" style="60" customWidth="1"/>
    <col min="2030" max="2030" width="8.85546875" style="60" customWidth="1"/>
    <col min="2031" max="2031" width="7.7109375" style="60" customWidth="1"/>
    <col min="2032" max="2032" width="7.28515625" style="60" customWidth="1"/>
    <col min="2033" max="2033" width="7.7109375" style="60" customWidth="1"/>
    <col min="2034" max="2034" width="8.28515625" style="60" customWidth="1"/>
    <col min="2035" max="2036" width="6.7109375" style="60" customWidth="1"/>
    <col min="2037" max="2037" width="8.85546875" style="60" customWidth="1"/>
    <col min="2038" max="2039" width="7.5703125" style="60" customWidth="1"/>
    <col min="2040" max="2040" width="7.7109375" style="60" customWidth="1"/>
    <col min="2041" max="2042" width="8.28515625" style="60" customWidth="1"/>
    <col min="2043" max="2043" width="6.28515625" style="60" customWidth="1"/>
    <col min="2044" max="2045" width="8.7109375" style="60" customWidth="1"/>
    <col min="2046" max="2046" width="9.5703125" style="60" customWidth="1"/>
    <col min="2047" max="2047" width="8.7109375" style="60" customWidth="1"/>
    <col min="2048" max="2048" width="14.5703125" style="60" customWidth="1"/>
    <col min="2049" max="2049" width="8.7109375" style="60" customWidth="1"/>
    <col min="2050" max="2050" width="10.42578125" style="60" customWidth="1"/>
    <col min="2051" max="2053" width="8.7109375" style="60" customWidth="1"/>
    <col min="2054" max="2054" width="9" style="60"/>
    <col min="2055" max="2056" width="8.7109375" style="60" customWidth="1"/>
    <col min="2057" max="2057" width="4.28515625" style="60" customWidth="1"/>
    <col min="2058" max="2058" width="7" style="60" customWidth="1"/>
    <col min="2059" max="2059" width="4.28515625" style="60" customWidth="1"/>
    <col min="2060" max="2060" width="7.7109375" style="60" customWidth="1"/>
    <col min="2061" max="2277" width="9" style="60"/>
    <col min="2278" max="2278" width="1.42578125" style="60" customWidth="1"/>
    <col min="2279" max="2279" width="31.85546875" style="60" customWidth="1"/>
    <col min="2280" max="2280" width="8.28515625" style="60" customWidth="1"/>
    <col min="2281" max="2281" width="9.7109375" style="60" customWidth="1"/>
    <col min="2282" max="2282" width="8.28515625" style="60" customWidth="1"/>
    <col min="2283" max="2283" width="6.5703125" style="60" customWidth="1"/>
    <col min="2284" max="2284" width="14" style="60" customWidth="1"/>
    <col min="2285" max="2285" width="6.7109375" style="60" customWidth="1"/>
    <col min="2286" max="2286" width="8.85546875" style="60" customWidth="1"/>
    <col min="2287" max="2287" width="7.7109375" style="60" customWidth="1"/>
    <col min="2288" max="2288" width="7.28515625" style="60" customWidth="1"/>
    <col min="2289" max="2289" width="7.7109375" style="60" customWidth="1"/>
    <col min="2290" max="2290" width="8.28515625" style="60" customWidth="1"/>
    <col min="2291" max="2292" width="6.7109375" style="60" customWidth="1"/>
    <col min="2293" max="2293" width="8.85546875" style="60" customWidth="1"/>
    <col min="2294" max="2295" width="7.5703125" style="60" customWidth="1"/>
    <col min="2296" max="2296" width="7.7109375" style="60" customWidth="1"/>
    <col min="2297" max="2298" width="8.28515625" style="60" customWidth="1"/>
    <col min="2299" max="2299" width="6.28515625" style="60" customWidth="1"/>
    <col min="2300" max="2301" width="8.7109375" style="60" customWidth="1"/>
    <col min="2302" max="2302" width="9.5703125" style="60" customWidth="1"/>
    <col min="2303" max="2303" width="8.7109375" style="60" customWidth="1"/>
    <col min="2304" max="2304" width="14.5703125" style="60" customWidth="1"/>
    <col min="2305" max="2305" width="8.7109375" style="60" customWidth="1"/>
    <col min="2306" max="2306" width="10.42578125" style="60" customWidth="1"/>
    <col min="2307" max="2309" width="8.7109375" style="60" customWidth="1"/>
    <col min="2310" max="2310" width="9" style="60"/>
    <col min="2311" max="2312" width="8.7109375" style="60" customWidth="1"/>
    <col min="2313" max="2313" width="4.28515625" style="60" customWidth="1"/>
    <col min="2314" max="2314" width="7" style="60" customWidth="1"/>
    <col min="2315" max="2315" width="4.28515625" style="60" customWidth="1"/>
    <col min="2316" max="2316" width="7.7109375" style="60" customWidth="1"/>
    <col min="2317" max="2533" width="9" style="60"/>
    <col min="2534" max="2534" width="1.42578125" style="60" customWidth="1"/>
    <col min="2535" max="2535" width="31.85546875" style="60" customWidth="1"/>
    <col min="2536" max="2536" width="8.28515625" style="60" customWidth="1"/>
    <col min="2537" max="2537" width="9.7109375" style="60" customWidth="1"/>
    <col min="2538" max="2538" width="8.28515625" style="60" customWidth="1"/>
    <col min="2539" max="2539" width="6.5703125" style="60" customWidth="1"/>
    <col min="2540" max="2540" width="14" style="60" customWidth="1"/>
    <col min="2541" max="2541" width="6.7109375" style="60" customWidth="1"/>
    <col min="2542" max="2542" width="8.85546875" style="60" customWidth="1"/>
    <col min="2543" max="2543" width="7.7109375" style="60" customWidth="1"/>
    <col min="2544" max="2544" width="7.28515625" style="60" customWidth="1"/>
    <col min="2545" max="2545" width="7.7109375" style="60" customWidth="1"/>
    <col min="2546" max="2546" width="8.28515625" style="60" customWidth="1"/>
    <col min="2547" max="2548" width="6.7109375" style="60" customWidth="1"/>
    <col min="2549" max="2549" width="8.85546875" style="60" customWidth="1"/>
    <col min="2550" max="2551" width="7.5703125" style="60" customWidth="1"/>
    <col min="2552" max="2552" width="7.7109375" style="60" customWidth="1"/>
    <col min="2553" max="2554" width="8.28515625" style="60" customWidth="1"/>
    <col min="2555" max="2555" width="6.28515625" style="60" customWidth="1"/>
    <col min="2556" max="2557" width="8.7109375" style="60" customWidth="1"/>
    <col min="2558" max="2558" width="9.5703125" style="60" customWidth="1"/>
    <col min="2559" max="2559" width="8.7109375" style="60" customWidth="1"/>
    <col min="2560" max="2560" width="14.5703125" style="60" customWidth="1"/>
    <col min="2561" max="2561" width="8.7109375" style="60" customWidth="1"/>
    <col min="2562" max="2562" width="10.42578125" style="60" customWidth="1"/>
    <col min="2563" max="2565" width="8.7109375" style="60" customWidth="1"/>
    <col min="2566" max="2566" width="9" style="60"/>
    <col min="2567" max="2568" width="8.7109375" style="60" customWidth="1"/>
    <col min="2569" max="2569" width="4.28515625" style="60" customWidth="1"/>
    <col min="2570" max="2570" width="7" style="60" customWidth="1"/>
    <col min="2571" max="2571" width="4.28515625" style="60" customWidth="1"/>
    <col min="2572" max="2572" width="7.7109375" style="60" customWidth="1"/>
    <col min="2573" max="2789" width="9" style="60"/>
    <col min="2790" max="2790" width="1.42578125" style="60" customWidth="1"/>
    <col min="2791" max="2791" width="31.85546875" style="60" customWidth="1"/>
    <col min="2792" max="2792" width="8.28515625" style="60" customWidth="1"/>
    <col min="2793" max="2793" width="9.7109375" style="60" customWidth="1"/>
    <col min="2794" max="2794" width="8.28515625" style="60" customWidth="1"/>
    <col min="2795" max="2795" width="6.5703125" style="60" customWidth="1"/>
    <col min="2796" max="2796" width="14" style="60" customWidth="1"/>
    <col min="2797" max="2797" width="6.7109375" style="60" customWidth="1"/>
    <col min="2798" max="2798" width="8.85546875" style="60" customWidth="1"/>
    <col min="2799" max="2799" width="7.7109375" style="60" customWidth="1"/>
    <col min="2800" max="2800" width="7.28515625" style="60" customWidth="1"/>
    <col min="2801" max="2801" width="7.7109375" style="60" customWidth="1"/>
    <col min="2802" max="2802" width="8.28515625" style="60" customWidth="1"/>
    <col min="2803" max="2804" width="6.7109375" style="60" customWidth="1"/>
    <col min="2805" max="2805" width="8.85546875" style="60" customWidth="1"/>
    <col min="2806" max="2807" width="7.5703125" style="60" customWidth="1"/>
    <col min="2808" max="2808" width="7.7109375" style="60" customWidth="1"/>
    <col min="2809" max="2810" width="8.28515625" style="60" customWidth="1"/>
    <col min="2811" max="2811" width="6.28515625" style="60" customWidth="1"/>
    <col min="2812" max="2813" width="8.7109375" style="60" customWidth="1"/>
    <col min="2814" max="2814" width="9.5703125" style="60" customWidth="1"/>
    <col min="2815" max="2815" width="8.7109375" style="60" customWidth="1"/>
    <col min="2816" max="2816" width="14.5703125" style="60" customWidth="1"/>
    <col min="2817" max="2817" width="8.7109375" style="60" customWidth="1"/>
    <col min="2818" max="2818" width="10.42578125" style="60" customWidth="1"/>
    <col min="2819" max="2821" width="8.7109375" style="60" customWidth="1"/>
    <col min="2822" max="2822" width="9" style="60"/>
    <col min="2823" max="2824" width="8.7109375" style="60" customWidth="1"/>
    <col min="2825" max="2825" width="4.28515625" style="60" customWidth="1"/>
    <col min="2826" max="2826" width="7" style="60" customWidth="1"/>
    <col min="2827" max="2827" width="4.28515625" style="60" customWidth="1"/>
    <col min="2828" max="2828" width="7.7109375" style="60" customWidth="1"/>
    <col min="2829" max="3045" width="9" style="60"/>
    <col min="3046" max="3046" width="1.42578125" style="60" customWidth="1"/>
    <col min="3047" max="3047" width="31.85546875" style="60" customWidth="1"/>
    <col min="3048" max="3048" width="8.28515625" style="60" customWidth="1"/>
    <col min="3049" max="3049" width="9.7109375" style="60" customWidth="1"/>
    <col min="3050" max="3050" width="8.28515625" style="60" customWidth="1"/>
    <col min="3051" max="3051" width="6.5703125" style="60" customWidth="1"/>
    <col min="3052" max="3052" width="14" style="60" customWidth="1"/>
    <col min="3053" max="3053" width="6.7109375" style="60" customWidth="1"/>
    <col min="3054" max="3054" width="8.85546875" style="60" customWidth="1"/>
    <col min="3055" max="3055" width="7.7109375" style="60" customWidth="1"/>
    <col min="3056" max="3056" width="7.28515625" style="60" customWidth="1"/>
    <col min="3057" max="3057" width="7.7109375" style="60" customWidth="1"/>
    <col min="3058" max="3058" width="8.28515625" style="60" customWidth="1"/>
    <col min="3059" max="3060" width="6.7109375" style="60" customWidth="1"/>
    <col min="3061" max="3061" width="8.85546875" style="60" customWidth="1"/>
    <col min="3062" max="3063" width="7.5703125" style="60" customWidth="1"/>
    <col min="3064" max="3064" width="7.7109375" style="60" customWidth="1"/>
    <col min="3065" max="3066" width="8.28515625" style="60" customWidth="1"/>
    <col min="3067" max="3067" width="6.28515625" style="60" customWidth="1"/>
    <col min="3068" max="3069" width="8.7109375" style="60" customWidth="1"/>
    <col min="3070" max="3070" width="9.5703125" style="60" customWidth="1"/>
    <col min="3071" max="3071" width="8.7109375" style="60" customWidth="1"/>
    <col min="3072" max="3072" width="14.5703125" style="60" customWidth="1"/>
    <col min="3073" max="3073" width="8.7109375" style="60" customWidth="1"/>
    <col min="3074" max="3074" width="10.42578125" style="60" customWidth="1"/>
    <col min="3075" max="3077" width="8.7109375" style="60" customWidth="1"/>
    <col min="3078" max="3078" width="9" style="60"/>
    <col min="3079" max="3080" width="8.7109375" style="60" customWidth="1"/>
    <col min="3081" max="3081" width="4.28515625" style="60" customWidth="1"/>
    <col min="3082" max="3082" width="7" style="60" customWidth="1"/>
    <col min="3083" max="3083" width="4.28515625" style="60" customWidth="1"/>
    <col min="3084" max="3084" width="7.7109375" style="60" customWidth="1"/>
    <col min="3085" max="3301" width="9" style="60"/>
    <col min="3302" max="3302" width="1.42578125" style="60" customWidth="1"/>
    <col min="3303" max="3303" width="31.85546875" style="60" customWidth="1"/>
    <col min="3304" max="3304" width="8.28515625" style="60" customWidth="1"/>
    <col min="3305" max="3305" width="9.7109375" style="60" customWidth="1"/>
    <col min="3306" max="3306" width="8.28515625" style="60" customWidth="1"/>
    <col min="3307" max="3307" width="6.5703125" style="60" customWidth="1"/>
    <col min="3308" max="3308" width="14" style="60" customWidth="1"/>
    <col min="3309" max="3309" width="6.7109375" style="60" customWidth="1"/>
    <col min="3310" max="3310" width="8.85546875" style="60" customWidth="1"/>
    <col min="3311" max="3311" width="7.7109375" style="60" customWidth="1"/>
    <col min="3312" max="3312" width="7.28515625" style="60" customWidth="1"/>
    <col min="3313" max="3313" width="7.7109375" style="60" customWidth="1"/>
    <col min="3314" max="3314" width="8.28515625" style="60" customWidth="1"/>
    <col min="3315" max="3316" width="6.7109375" style="60" customWidth="1"/>
    <col min="3317" max="3317" width="8.85546875" style="60" customWidth="1"/>
    <col min="3318" max="3319" width="7.5703125" style="60" customWidth="1"/>
    <col min="3320" max="3320" width="7.7109375" style="60" customWidth="1"/>
    <col min="3321" max="3322" width="8.28515625" style="60" customWidth="1"/>
    <col min="3323" max="3323" width="6.28515625" style="60" customWidth="1"/>
    <col min="3324" max="3325" width="8.7109375" style="60" customWidth="1"/>
    <col min="3326" max="3326" width="9.5703125" style="60" customWidth="1"/>
    <col min="3327" max="3327" width="8.7109375" style="60" customWidth="1"/>
    <col min="3328" max="3328" width="14.5703125" style="60" customWidth="1"/>
    <col min="3329" max="3329" width="8.7109375" style="60" customWidth="1"/>
    <col min="3330" max="3330" width="10.42578125" style="60" customWidth="1"/>
    <col min="3331" max="3333" width="8.7109375" style="60" customWidth="1"/>
    <col min="3334" max="3334" width="9" style="60"/>
    <col min="3335" max="3336" width="8.7109375" style="60" customWidth="1"/>
    <col min="3337" max="3337" width="4.28515625" style="60" customWidth="1"/>
    <col min="3338" max="3338" width="7" style="60" customWidth="1"/>
    <col min="3339" max="3339" width="4.28515625" style="60" customWidth="1"/>
    <col min="3340" max="3340" width="7.7109375" style="60" customWidth="1"/>
    <col min="3341" max="3557" width="9" style="60"/>
    <col min="3558" max="3558" width="1.42578125" style="60" customWidth="1"/>
    <col min="3559" max="3559" width="31.85546875" style="60" customWidth="1"/>
    <col min="3560" max="3560" width="8.28515625" style="60" customWidth="1"/>
    <col min="3561" max="3561" width="9.7109375" style="60" customWidth="1"/>
    <col min="3562" max="3562" width="8.28515625" style="60" customWidth="1"/>
    <col min="3563" max="3563" width="6.5703125" style="60" customWidth="1"/>
    <col min="3564" max="3564" width="14" style="60" customWidth="1"/>
    <col min="3565" max="3565" width="6.7109375" style="60" customWidth="1"/>
    <col min="3566" max="3566" width="8.85546875" style="60" customWidth="1"/>
    <col min="3567" max="3567" width="7.7109375" style="60" customWidth="1"/>
    <col min="3568" max="3568" width="7.28515625" style="60" customWidth="1"/>
    <col min="3569" max="3569" width="7.7109375" style="60" customWidth="1"/>
    <col min="3570" max="3570" width="8.28515625" style="60" customWidth="1"/>
    <col min="3571" max="3572" width="6.7109375" style="60" customWidth="1"/>
    <col min="3573" max="3573" width="8.85546875" style="60" customWidth="1"/>
    <col min="3574" max="3575" width="7.5703125" style="60" customWidth="1"/>
    <col min="3576" max="3576" width="7.7109375" style="60" customWidth="1"/>
    <col min="3577" max="3578" width="8.28515625" style="60" customWidth="1"/>
    <col min="3579" max="3579" width="6.28515625" style="60" customWidth="1"/>
    <col min="3580" max="3581" width="8.7109375" style="60" customWidth="1"/>
    <col min="3582" max="3582" width="9.5703125" style="60" customWidth="1"/>
    <col min="3583" max="3583" width="8.7109375" style="60" customWidth="1"/>
    <col min="3584" max="3584" width="14.5703125" style="60" customWidth="1"/>
    <col min="3585" max="3585" width="8.7109375" style="60" customWidth="1"/>
    <col min="3586" max="3586" width="10.42578125" style="60" customWidth="1"/>
    <col min="3587" max="3589" width="8.7109375" style="60" customWidth="1"/>
    <col min="3590" max="3590" width="9" style="60"/>
    <col min="3591" max="3592" width="8.7109375" style="60" customWidth="1"/>
    <col min="3593" max="3593" width="4.28515625" style="60" customWidth="1"/>
    <col min="3594" max="3594" width="7" style="60" customWidth="1"/>
    <col min="3595" max="3595" width="4.28515625" style="60" customWidth="1"/>
    <col min="3596" max="3596" width="7.7109375" style="60" customWidth="1"/>
    <col min="3597" max="3813" width="9" style="60"/>
    <col min="3814" max="3814" width="1.42578125" style="60" customWidth="1"/>
    <col min="3815" max="3815" width="31.85546875" style="60" customWidth="1"/>
    <col min="3816" max="3816" width="8.28515625" style="60" customWidth="1"/>
    <col min="3817" max="3817" width="9.7109375" style="60" customWidth="1"/>
    <col min="3818" max="3818" width="8.28515625" style="60" customWidth="1"/>
    <col min="3819" max="3819" width="6.5703125" style="60" customWidth="1"/>
    <col min="3820" max="3820" width="14" style="60" customWidth="1"/>
    <col min="3821" max="3821" width="6.7109375" style="60" customWidth="1"/>
    <col min="3822" max="3822" width="8.85546875" style="60" customWidth="1"/>
    <col min="3823" max="3823" width="7.7109375" style="60" customWidth="1"/>
    <col min="3824" max="3824" width="7.28515625" style="60" customWidth="1"/>
    <col min="3825" max="3825" width="7.7109375" style="60" customWidth="1"/>
    <col min="3826" max="3826" width="8.28515625" style="60" customWidth="1"/>
    <col min="3827" max="3828" width="6.7109375" style="60" customWidth="1"/>
    <col min="3829" max="3829" width="8.85546875" style="60" customWidth="1"/>
    <col min="3830" max="3831" width="7.5703125" style="60" customWidth="1"/>
    <col min="3832" max="3832" width="7.7109375" style="60" customWidth="1"/>
    <col min="3833" max="3834" width="8.28515625" style="60" customWidth="1"/>
    <col min="3835" max="3835" width="6.28515625" style="60" customWidth="1"/>
    <col min="3836" max="3837" width="8.7109375" style="60" customWidth="1"/>
    <col min="3838" max="3838" width="9.5703125" style="60" customWidth="1"/>
    <col min="3839" max="3839" width="8.7109375" style="60" customWidth="1"/>
    <col min="3840" max="3840" width="14.5703125" style="60" customWidth="1"/>
    <col min="3841" max="3841" width="8.7109375" style="60" customWidth="1"/>
    <col min="3842" max="3842" width="10.42578125" style="60" customWidth="1"/>
    <col min="3843" max="3845" width="8.7109375" style="60" customWidth="1"/>
    <col min="3846" max="3846" width="9" style="60"/>
    <col min="3847" max="3848" width="8.7109375" style="60" customWidth="1"/>
    <col min="3849" max="3849" width="4.28515625" style="60" customWidth="1"/>
    <col min="3850" max="3850" width="7" style="60" customWidth="1"/>
    <col min="3851" max="3851" width="4.28515625" style="60" customWidth="1"/>
    <col min="3852" max="3852" width="7.7109375" style="60" customWidth="1"/>
    <col min="3853" max="4069" width="9" style="60"/>
    <col min="4070" max="4070" width="1.42578125" style="60" customWidth="1"/>
    <col min="4071" max="4071" width="31.85546875" style="60" customWidth="1"/>
    <col min="4072" max="4072" width="8.28515625" style="60" customWidth="1"/>
    <col min="4073" max="4073" width="9.7109375" style="60" customWidth="1"/>
    <col min="4074" max="4074" width="8.28515625" style="60" customWidth="1"/>
    <col min="4075" max="4075" width="6.5703125" style="60" customWidth="1"/>
    <col min="4076" max="4076" width="14" style="60" customWidth="1"/>
    <col min="4077" max="4077" width="6.7109375" style="60" customWidth="1"/>
    <col min="4078" max="4078" width="8.85546875" style="60" customWidth="1"/>
    <col min="4079" max="4079" width="7.7109375" style="60" customWidth="1"/>
    <col min="4080" max="4080" width="7.28515625" style="60" customWidth="1"/>
    <col min="4081" max="4081" width="7.7109375" style="60" customWidth="1"/>
    <col min="4082" max="4082" width="8.28515625" style="60" customWidth="1"/>
    <col min="4083" max="4084" width="6.7109375" style="60" customWidth="1"/>
    <col min="4085" max="4085" width="8.85546875" style="60" customWidth="1"/>
    <col min="4086" max="4087" width="7.5703125" style="60" customWidth="1"/>
    <col min="4088" max="4088" width="7.7109375" style="60" customWidth="1"/>
    <col min="4089" max="4090" width="8.28515625" style="60" customWidth="1"/>
    <col min="4091" max="4091" width="6.28515625" style="60" customWidth="1"/>
    <col min="4092" max="4093" width="8.7109375" style="60" customWidth="1"/>
    <col min="4094" max="4094" width="9.5703125" style="60" customWidth="1"/>
    <col min="4095" max="4095" width="8.7109375" style="60" customWidth="1"/>
    <col min="4096" max="4096" width="14.5703125" style="60" customWidth="1"/>
    <col min="4097" max="4097" width="8.7109375" style="60" customWidth="1"/>
    <col min="4098" max="4098" width="10.42578125" style="60" customWidth="1"/>
    <col min="4099" max="4101" width="8.7109375" style="60" customWidth="1"/>
    <col min="4102" max="4102" width="9" style="60"/>
    <col min="4103" max="4104" width="8.7109375" style="60" customWidth="1"/>
    <col min="4105" max="4105" width="4.28515625" style="60" customWidth="1"/>
    <col min="4106" max="4106" width="7" style="60" customWidth="1"/>
    <col min="4107" max="4107" width="4.28515625" style="60" customWidth="1"/>
    <col min="4108" max="4108" width="7.7109375" style="60" customWidth="1"/>
    <col min="4109" max="4325" width="9" style="60"/>
    <col min="4326" max="4326" width="1.42578125" style="60" customWidth="1"/>
    <col min="4327" max="4327" width="31.85546875" style="60" customWidth="1"/>
    <col min="4328" max="4328" width="8.28515625" style="60" customWidth="1"/>
    <col min="4329" max="4329" width="9.7109375" style="60" customWidth="1"/>
    <col min="4330" max="4330" width="8.28515625" style="60" customWidth="1"/>
    <col min="4331" max="4331" width="6.5703125" style="60" customWidth="1"/>
    <col min="4332" max="4332" width="14" style="60" customWidth="1"/>
    <col min="4333" max="4333" width="6.7109375" style="60" customWidth="1"/>
    <col min="4334" max="4334" width="8.85546875" style="60" customWidth="1"/>
    <col min="4335" max="4335" width="7.7109375" style="60" customWidth="1"/>
    <col min="4336" max="4336" width="7.28515625" style="60" customWidth="1"/>
    <col min="4337" max="4337" width="7.7109375" style="60" customWidth="1"/>
    <col min="4338" max="4338" width="8.28515625" style="60" customWidth="1"/>
    <col min="4339" max="4340" width="6.7109375" style="60" customWidth="1"/>
    <col min="4341" max="4341" width="8.85546875" style="60" customWidth="1"/>
    <col min="4342" max="4343" width="7.5703125" style="60" customWidth="1"/>
    <col min="4344" max="4344" width="7.7109375" style="60" customWidth="1"/>
    <col min="4345" max="4346" width="8.28515625" style="60" customWidth="1"/>
    <col min="4347" max="4347" width="6.28515625" style="60" customWidth="1"/>
    <col min="4348" max="4349" width="8.7109375" style="60" customWidth="1"/>
    <col min="4350" max="4350" width="9.5703125" style="60" customWidth="1"/>
    <col min="4351" max="4351" width="8.7109375" style="60" customWidth="1"/>
    <col min="4352" max="4352" width="14.5703125" style="60" customWidth="1"/>
    <col min="4353" max="4353" width="8.7109375" style="60" customWidth="1"/>
    <col min="4354" max="4354" width="10.42578125" style="60" customWidth="1"/>
    <col min="4355" max="4357" width="8.7109375" style="60" customWidth="1"/>
    <col min="4358" max="4358" width="9" style="60"/>
    <col min="4359" max="4360" width="8.7109375" style="60" customWidth="1"/>
    <col min="4361" max="4361" width="4.28515625" style="60" customWidth="1"/>
    <col min="4362" max="4362" width="7" style="60" customWidth="1"/>
    <col min="4363" max="4363" width="4.28515625" style="60" customWidth="1"/>
    <col min="4364" max="4364" width="7.7109375" style="60" customWidth="1"/>
    <col min="4365" max="4581" width="9" style="60"/>
    <col min="4582" max="4582" width="1.42578125" style="60" customWidth="1"/>
    <col min="4583" max="4583" width="31.85546875" style="60" customWidth="1"/>
    <col min="4584" max="4584" width="8.28515625" style="60" customWidth="1"/>
    <col min="4585" max="4585" width="9.7109375" style="60" customWidth="1"/>
    <col min="4586" max="4586" width="8.28515625" style="60" customWidth="1"/>
    <col min="4587" max="4587" width="6.5703125" style="60" customWidth="1"/>
    <col min="4588" max="4588" width="14" style="60" customWidth="1"/>
    <col min="4589" max="4589" width="6.7109375" style="60" customWidth="1"/>
    <col min="4590" max="4590" width="8.85546875" style="60" customWidth="1"/>
    <col min="4591" max="4591" width="7.7109375" style="60" customWidth="1"/>
    <col min="4592" max="4592" width="7.28515625" style="60" customWidth="1"/>
    <col min="4593" max="4593" width="7.7109375" style="60" customWidth="1"/>
    <col min="4594" max="4594" width="8.28515625" style="60" customWidth="1"/>
    <col min="4595" max="4596" width="6.7109375" style="60" customWidth="1"/>
    <col min="4597" max="4597" width="8.85546875" style="60" customWidth="1"/>
    <col min="4598" max="4599" width="7.5703125" style="60" customWidth="1"/>
    <col min="4600" max="4600" width="7.7109375" style="60" customWidth="1"/>
    <col min="4601" max="4602" width="8.28515625" style="60" customWidth="1"/>
    <col min="4603" max="4603" width="6.28515625" style="60" customWidth="1"/>
    <col min="4604" max="4605" width="8.7109375" style="60" customWidth="1"/>
    <col min="4606" max="4606" width="9.5703125" style="60" customWidth="1"/>
    <col min="4607" max="4607" width="8.7109375" style="60" customWidth="1"/>
    <col min="4608" max="4608" width="14.5703125" style="60" customWidth="1"/>
    <col min="4609" max="4609" width="8.7109375" style="60" customWidth="1"/>
    <col min="4610" max="4610" width="10.42578125" style="60" customWidth="1"/>
    <col min="4611" max="4613" width="8.7109375" style="60" customWidth="1"/>
    <col min="4614" max="4614" width="9" style="60"/>
    <col min="4615" max="4616" width="8.7109375" style="60" customWidth="1"/>
    <col min="4617" max="4617" width="4.28515625" style="60" customWidth="1"/>
    <col min="4618" max="4618" width="7" style="60" customWidth="1"/>
    <col min="4619" max="4619" width="4.28515625" style="60" customWidth="1"/>
    <col min="4620" max="4620" width="7.7109375" style="60" customWidth="1"/>
    <col min="4621" max="4837" width="9" style="60"/>
    <col min="4838" max="4838" width="1.42578125" style="60" customWidth="1"/>
    <col min="4839" max="4839" width="31.85546875" style="60" customWidth="1"/>
    <col min="4840" max="4840" width="8.28515625" style="60" customWidth="1"/>
    <col min="4841" max="4841" width="9.7109375" style="60" customWidth="1"/>
    <col min="4842" max="4842" width="8.28515625" style="60" customWidth="1"/>
    <col min="4843" max="4843" width="6.5703125" style="60" customWidth="1"/>
    <col min="4844" max="4844" width="14" style="60" customWidth="1"/>
    <col min="4845" max="4845" width="6.7109375" style="60" customWidth="1"/>
    <col min="4846" max="4846" width="8.85546875" style="60" customWidth="1"/>
    <col min="4847" max="4847" width="7.7109375" style="60" customWidth="1"/>
    <col min="4848" max="4848" width="7.28515625" style="60" customWidth="1"/>
    <col min="4849" max="4849" width="7.7109375" style="60" customWidth="1"/>
    <col min="4850" max="4850" width="8.28515625" style="60" customWidth="1"/>
    <col min="4851" max="4852" width="6.7109375" style="60" customWidth="1"/>
    <col min="4853" max="4853" width="8.85546875" style="60" customWidth="1"/>
    <col min="4854" max="4855" width="7.5703125" style="60" customWidth="1"/>
    <col min="4856" max="4856" width="7.7109375" style="60" customWidth="1"/>
    <col min="4857" max="4858" width="8.28515625" style="60" customWidth="1"/>
    <col min="4859" max="4859" width="6.28515625" style="60" customWidth="1"/>
    <col min="4860" max="4861" width="8.7109375" style="60" customWidth="1"/>
    <col min="4862" max="4862" width="9.5703125" style="60" customWidth="1"/>
    <col min="4863" max="4863" width="8.7109375" style="60" customWidth="1"/>
    <col min="4864" max="4864" width="14.5703125" style="60" customWidth="1"/>
    <col min="4865" max="4865" width="8.7109375" style="60" customWidth="1"/>
    <col min="4866" max="4866" width="10.42578125" style="60" customWidth="1"/>
    <col min="4867" max="4869" width="8.7109375" style="60" customWidth="1"/>
    <col min="4870" max="4870" width="9" style="60"/>
    <col min="4871" max="4872" width="8.7109375" style="60" customWidth="1"/>
    <col min="4873" max="4873" width="4.28515625" style="60" customWidth="1"/>
    <col min="4874" max="4874" width="7" style="60" customWidth="1"/>
    <col min="4875" max="4875" width="4.28515625" style="60" customWidth="1"/>
    <col min="4876" max="4876" width="7.7109375" style="60" customWidth="1"/>
    <col min="4877" max="5093" width="9" style="60"/>
    <col min="5094" max="5094" width="1.42578125" style="60" customWidth="1"/>
    <col min="5095" max="5095" width="31.85546875" style="60" customWidth="1"/>
    <col min="5096" max="5096" width="8.28515625" style="60" customWidth="1"/>
    <col min="5097" max="5097" width="9.7109375" style="60" customWidth="1"/>
    <col min="5098" max="5098" width="8.28515625" style="60" customWidth="1"/>
    <col min="5099" max="5099" width="6.5703125" style="60" customWidth="1"/>
    <col min="5100" max="5100" width="14" style="60" customWidth="1"/>
    <col min="5101" max="5101" width="6.7109375" style="60" customWidth="1"/>
    <col min="5102" max="5102" width="8.85546875" style="60" customWidth="1"/>
    <col min="5103" max="5103" width="7.7109375" style="60" customWidth="1"/>
    <col min="5104" max="5104" width="7.28515625" style="60" customWidth="1"/>
    <col min="5105" max="5105" width="7.7109375" style="60" customWidth="1"/>
    <col min="5106" max="5106" width="8.28515625" style="60" customWidth="1"/>
    <col min="5107" max="5108" width="6.7109375" style="60" customWidth="1"/>
    <col min="5109" max="5109" width="8.85546875" style="60" customWidth="1"/>
    <col min="5110" max="5111" width="7.5703125" style="60" customWidth="1"/>
    <col min="5112" max="5112" width="7.7109375" style="60" customWidth="1"/>
    <col min="5113" max="5114" width="8.28515625" style="60" customWidth="1"/>
    <col min="5115" max="5115" width="6.28515625" style="60" customWidth="1"/>
    <col min="5116" max="5117" width="8.7109375" style="60" customWidth="1"/>
    <col min="5118" max="5118" width="9.5703125" style="60" customWidth="1"/>
    <col min="5119" max="5119" width="8.7109375" style="60" customWidth="1"/>
    <col min="5120" max="5120" width="14.5703125" style="60" customWidth="1"/>
    <col min="5121" max="5121" width="8.7109375" style="60" customWidth="1"/>
    <col min="5122" max="5122" width="10.42578125" style="60" customWidth="1"/>
    <col min="5123" max="5125" width="8.7109375" style="60" customWidth="1"/>
    <col min="5126" max="5126" width="9" style="60"/>
    <col min="5127" max="5128" width="8.7109375" style="60" customWidth="1"/>
    <col min="5129" max="5129" width="4.28515625" style="60" customWidth="1"/>
    <col min="5130" max="5130" width="7" style="60" customWidth="1"/>
    <col min="5131" max="5131" width="4.28515625" style="60" customWidth="1"/>
    <col min="5132" max="5132" width="7.7109375" style="60" customWidth="1"/>
    <col min="5133" max="5349" width="9" style="60"/>
    <col min="5350" max="5350" width="1.42578125" style="60" customWidth="1"/>
    <col min="5351" max="5351" width="31.85546875" style="60" customWidth="1"/>
    <col min="5352" max="5352" width="8.28515625" style="60" customWidth="1"/>
    <col min="5353" max="5353" width="9.7109375" style="60" customWidth="1"/>
    <col min="5354" max="5354" width="8.28515625" style="60" customWidth="1"/>
    <col min="5355" max="5355" width="6.5703125" style="60" customWidth="1"/>
    <col min="5356" max="5356" width="14" style="60" customWidth="1"/>
    <col min="5357" max="5357" width="6.7109375" style="60" customWidth="1"/>
    <col min="5358" max="5358" width="8.85546875" style="60" customWidth="1"/>
    <col min="5359" max="5359" width="7.7109375" style="60" customWidth="1"/>
    <col min="5360" max="5360" width="7.28515625" style="60" customWidth="1"/>
    <col min="5361" max="5361" width="7.7109375" style="60" customWidth="1"/>
    <col min="5362" max="5362" width="8.28515625" style="60" customWidth="1"/>
    <col min="5363" max="5364" width="6.7109375" style="60" customWidth="1"/>
    <col min="5365" max="5365" width="8.85546875" style="60" customWidth="1"/>
    <col min="5366" max="5367" width="7.5703125" style="60" customWidth="1"/>
    <col min="5368" max="5368" width="7.7109375" style="60" customWidth="1"/>
    <col min="5369" max="5370" width="8.28515625" style="60" customWidth="1"/>
    <col min="5371" max="5371" width="6.28515625" style="60" customWidth="1"/>
    <col min="5372" max="5373" width="8.7109375" style="60" customWidth="1"/>
    <col min="5374" max="5374" width="9.5703125" style="60" customWidth="1"/>
    <col min="5375" max="5375" width="8.7109375" style="60" customWidth="1"/>
    <col min="5376" max="5376" width="14.5703125" style="60" customWidth="1"/>
    <col min="5377" max="5377" width="8.7109375" style="60" customWidth="1"/>
    <col min="5378" max="5378" width="10.42578125" style="60" customWidth="1"/>
    <col min="5379" max="5381" width="8.7109375" style="60" customWidth="1"/>
    <col min="5382" max="5382" width="9" style="60"/>
    <col min="5383" max="5384" width="8.7109375" style="60" customWidth="1"/>
    <col min="5385" max="5385" width="4.28515625" style="60" customWidth="1"/>
    <col min="5386" max="5386" width="7" style="60" customWidth="1"/>
    <col min="5387" max="5387" width="4.28515625" style="60" customWidth="1"/>
    <col min="5388" max="5388" width="7.7109375" style="60" customWidth="1"/>
    <col min="5389" max="5605" width="9" style="60"/>
    <col min="5606" max="5606" width="1.42578125" style="60" customWidth="1"/>
    <col min="5607" max="5607" width="31.85546875" style="60" customWidth="1"/>
    <col min="5608" max="5608" width="8.28515625" style="60" customWidth="1"/>
    <col min="5609" max="5609" width="9.7109375" style="60" customWidth="1"/>
    <col min="5610" max="5610" width="8.28515625" style="60" customWidth="1"/>
    <col min="5611" max="5611" width="6.5703125" style="60" customWidth="1"/>
    <col min="5612" max="5612" width="14" style="60" customWidth="1"/>
    <col min="5613" max="5613" width="6.7109375" style="60" customWidth="1"/>
    <col min="5614" max="5614" width="8.85546875" style="60" customWidth="1"/>
    <col min="5615" max="5615" width="7.7109375" style="60" customWidth="1"/>
    <col min="5616" max="5616" width="7.28515625" style="60" customWidth="1"/>
    <col min="5617" max="5617" width="7.7109375" style="60" customWidth="1"/>
    <col min="5618" max="5618" width="8.28515625" style="60" customWidth="1"/>
    <col min="5619" max="5620" width="6.7109375" style="60" customWidth="1"/>
    <col min="5621" max="5621" width="8.85546875" style="60" customWidth="1"/>
    <col min="5622" max="5623" width="7.5703125" style="60" customWidth="1"/>
    <col min="5624" max="5624" width="7.7109375" style="60" customWidth="1"/>
    <col min="5625" max="5626" width="8.28515625" style="60" customWidth="1"/>
    <col min="5627" max="5627" width="6.28515625" style="60" customWidth="1"/>
    <col min="5628" max="5629" width="8.7109375" style="60" customWidth="1"/>
    <col min="5630" max="5630" width="9.5703125" style="60" customWidth="1"/>
    <col min="5631" max="5631" width="8.7109375" style="60" customWidth="1"/>
    <col min="5632" max="5632" width="14.5703125" style="60" customWidth="1"/>
    <col min="5633" max="5633" width="8.7109375" style="60" customWidth="1"/>
    <col min="5634" max="5634" width="10.42578125" style="60" customWidth="1"/>
    <col min="5635" max="5637" width="8.7109375" style="60" customWidth="1"/>
    <col min="5638" max="5638" width="9" style="60"/>
    <col min="5639" max="5640" width="8.7109375" style="60" customWidth="1"/>
    <col min="5641" max="5641" width="4.28515625" style="60" customWidth="1"/>
    <col min="5642" max="5642" width="7" style="60" customWidth="1"/>
    <col min="5643" max="5643" width="4.28515625" style="60" customWidth="1"/>
    <col min="5644" max="5644" width="7.7109375" style="60" customWidth="1"/>
    <col min="5645" max="5861" width="9" style="60"/>
    <col min="5862" max="5862" width="1.42578125" style="60" customWidth="1"/>
    <col min="5863" max="5863" width="31.85546875" style="60" customWidth="1"/>
    <col min="5864" max="5864" width="8.28515625" style="60" customWidth="1"/>
    <col min="5865" max="5865" width="9.7109375" style="60" customWidth="1"/>
    <col min="5866" max="5866" width="8.28515625" style="60" customWidth="1"/>
    <col min="5867" max="5867" width="6.5703125" style="60" customWidth="1"/>
    <col min="5868" max="5868" width="14" style="60" customWidth="1"/>
    <col min="5869" max="5869" width="6.7109375" style="60" customWidth="1"/>
    <col min="5870" max="5870" width="8.85546875" style="60" customWidth="1"/>
    <col min="5871" max="5871" width="7.7109375" style="60" customWidth="1"/>
    <col min="5872" max="5872" width="7.28515625" style="60" customWidth="1"/>
    <col min="5873" max="5873" width="7.7109375" style="60" customWidth="1"/>
    <col min="5874" max="5874" width="8.28515625" style="60" customWidth="1"/>
    <col min="5875" max="5876" width="6.7109375" style="60" customWidth="1"/>
    <col min="5877" max="5877" width="8.85546875" style="60" customWidth="1"/>
    <col min="5878" max="5879" width="7.5703125" style="60" customWidth="1"/>
    <col min="5880" max="5880" width="7.7109375" style="60" customWidth="1"/>
    <col min="5881" max="5882" width="8.28515625" style="60" customWidth="1"/>
    <col min="5883" max="5883" width="6.28515625" style="60" customWidth="1"/>
    <col min="5884" max="5885" width="8.7109375" style="60" customWidth="1"/>
    <col min="5886" max="5886" width="9.5703125" style="60" customWidth="1"/>
    <col min="5887" max="5887" width="8.7109375" style="60" customWidth="1"/>
    <col min="5888" max="5888" width="14.5703125" style="60" customWidth="1"/>
    <col min="5889" max="5889" width="8.7109375" style="60" customWidth="1"/>
    <col min="5890" max="5890" width="10.42578125" style="60" customWidth="1"/>
    <col min="5891" max="5893" width="8.7109375" style="60" customWidth="1"/>
    <col min="5894" max="5894" width="9" style="60"/>
    <col min="5895" max="5896" width="8.7109375" style="60" customWidth="1"/>
    <col min="5897" max="5897" width="4.28515625" style="60" customWidth="1"/>
    <col min="5898" max="5898" width="7" style="60" customWidth="1"/>
    <col min="5899" max="5899" width="4.28515625" style="60" customWidth="1"/>
    <col min="5900" max="5900" width="7.7109375" style="60" customWidth="1"/>
    <col min="5901" max="6117" width="9" style="60"/>
    <col min="6118" max="6118" width="1.42578125" style="60" customWidth="1"/>
    <col min="6119" max="6119" width="31.85546875" style="60" customWidth="1"/>
    <col min="6120" max="6120" width="8.28515625" style="60" customWidth="1"/>
    <col min="6121" max="6121" width="9.7109375" style="60" customWidth="1"/>
    <col min="6122" max="6122" width="8.28515625" style="60" customWidth="1"/>
    <col min="6123" max="6123" width="6.5703125" style="60" customWidth="1"/>
    <col min="6124" max="6124" width="14" style="60" customWidth="1"/>
    <col min="6125" max="6125" width="6.7109375" style="60" customWidth="1"/>
    <col min="6126" max="6126" width="8.85546875" style="60" customWidth="1"/>
    <col min="6127" max="6127" width="7.7109375" style="60" customWidth="1"/>
    <col min="6128" max="6128" width="7.28515625" style="60" customWidth="1"/>
    <col min="6129" max="6129" width="7.7109375" style="60" customWidth="1"/>
    <col min="6130" max="6130" width="8.28515625" style="60" customWidth="1"/>
    <col min="6131" max="6132" width="6.7109375" style="60" customWidth="1"/>
    <col min="6133" max="6133" width="8.85546875" style="60" customWidth="1"/>
    <col min="6134" max="6135" width="7.5703125" style="60" customWidth="1"/>
    <col min="6136" max="6136" width="7.7109375" style="60" customWidth="1"/>
    <col min="6137" max="6138" width="8.28515625" style="60" customWidth="1"/>
    <col min="6139" max="6139" width="6.28515625" style="60" customWidth="1"/>
    <col min="6140" max="6141" width="8.7109375" style="60" customWidth="1"/>
    <col min="6142" max="6142" width="9.5703125" style="60" customWidth="1"/>
    <col min="6143" max="6143" width="8.7109375" style="60" customWidth="1"/>
    <col min="6144" max="6144" width="14.5703125" style="60" customWidth="1"/>
    <col min="6145" max="6145" width="8.7109375" style="60" customWidth="1"/>
    <col min="6146" max="6146" width="10.42578125" style="60" customWidth="1"/>
    <col min="6147" max="6149" width="8.7109375" style="60" customWidth="1"/>
    <col min="6150" max="6150" width="9" style="60"/>
    <col min="6151" max="6152" width="8.7109375" style="60" customWidth="1"/>
    <col min="6153" max="6153" width="4.28515625" style="60" customWidth="1"/>
    <col min="6154" max="6154" width="7" style="60" customWidth="1"/>
    <col min="6155" max="6155" width="4.28515625" style="60" customWidth="1"/>
    <col min="6156" max="6156" width="7.7109375" style="60" customWidth="1"/>
    <col min="6157" max="6373" width="9" style="60"/>
    <col min="6374" max="6374" width="1.42578125" style="60" customWidth="1"/>
    <col min="6375" max="6375" width="31.85546875" style="60" customWidth="1"/>
    <col min="6376" max="6376" width="8.28515625" style="60" customWidth="1"/>
    <col min="6377" max="6377" width="9.7109375" style="60" customWidth="1"/>
    <col min="6378" max="6378" width="8.28515625" style="60" customWidth="1"/>
    <col min="6379" max="6379" width="6.5703125" style="60" customWidth="1"/>
    <col min="6380" max="6380" width="14" style="60" customWidth="1"/>
    <col min="6381" max="6381" width="6.7109375" style="60" customWidth="1"/>
    <col min="6382" max="6382" width="8.85546875" style="60" customWidth="1"/>
    <col min="6383" max="6383" width="7.7109375" style="60" customWidth="1"/>
    <col min="6384" max="6384" width="7.28515625" style="60" customWidth="1"/>
    <col min="6385" max="6385" width="7.7109375" style="60" customWidth="1"/>
    <col min="6386" max="6386" width="8.28515625" style="60" customWidth="1"/>
    <col min="6387" max="6388" width="6.7109375" style="60" customWidth="1"/>
    <col min="6389" max="6389" width="8.85546875" style="60" customWidth="1"/>
    <col min="6390" max="6391" width="7.5703125" style="60" customWidth="1"/>
    <col min="6392" max="6392" width="7.7109375" style="60" customWidth="1"/>
    <col min="6393" max="6394" width="8.28515625" style="60" customWidth="1"/>
    <col min="6395" max="6395" width="6.28515625" style="60" customWidth="1"/>
    <col min="6396" max="6397" width="8.7109375" style="60" customWidth="1"/>
    <col min="6398" max="6398" width="9.5703125" style="60" customWidth="1"/>
    <col min="6399" max="6399" width="8.7109375" style="60" customWidth="1"/>
    <col min="6400" max="6400" width="14.5703125" style="60" customWidth="1"/>
    <col min="6401" max="6401" width="8.7109375" style="60" customWidth="1"/>
    <col min="6402" max="6402" width="10.42578125" style="60" customWidth="1"/>
    <col min="6403" max="6405" width="8.7109375" style="60" customWidth="1"/>
    <col min="6406" max="6406" width="9" style="60"/>
    <col min="6407" max="6408" width="8.7109375" style="60" customWidth="1"/>
    <col min="6409" max="6409" width="4.28515625" style="60" customWidth="1"/>
    <col min="6410" max="6410" width="7" style="60" customWidth="1"/>
    <col min="6411" max="6411" width="4.28515625" style="60" customWidth="1"/>
    <col min="6412" max="6412" width="7.7109375" style="60" customWidth="1"/>
    <col min="6413" max="6629" width="9" style="60"/>
    <col min="6630" max="6630" width="1.42578125" style="60" customWidth="1"/>
    <col min="6631" max="6631" width="31.85546875" style="60" customWidth="1"/>
    <col min="6632" max="6632" width="8.28515625" style="60" customWidth="1"/>
    <col min="6633" max="6633" width="9.7109375" style="60" customWidth="1"/>
    <col min="6634" max="6634" width="8.28515625" style="60" customWidth="1"/>
    <col min="6635" max="6635" width="6.5703125" style="60" customWidth="1"/>
    <col min="6636" max="6636" width="14" style="60" customWidth="1"/>
    <col min="6637" max="6637" width="6.7109375" style="60" customWidth="1"/>
    <col min="6638" max="6638" width="8.85546875" style="60" customWidth="1"/>
    <col min="6639" max="6639" width="7.7109375" style="60" customWidth="1"/>
    <col min="6640" max="6640" width="7.28515625" style="60" customWidth="1"/>
    <col min="6641" max="6641" width="7.7109375" style="60" customWidth="1"/>
    <col min="6642" max="6642" width="8.28515625" style="60" customWidth="1"/>
    <col min="6643" max="6644" width="6.7109375" style="60" customWidth="1"/>
    <col min="6645" max="6645" width="8.85546875" style="60" customWidth="1"/>
    <col min="6646" max="6647" width="7.5703125" style="60" customWidth="1"/>
    <col min="6648" max="6648" width="7.7109375" style="60" customWidth="1"/>
    <col min="6649" max="6650" width="8.28515625" style="60" customWidth="1"/>
    <col min="6651" max="6651" width="6.28515625" style="60" customWidth="1"/>
    <col min="6652" max="6653" width="8.7109375" style="60" customWidth="1"/>
    <col min="6654" max="6654" width="9.5703125" style="60" customWidth="1"/>
    <col min="6655" max="6655" width="8.7109375" style="60" customWidth="1"/>
    <col min="6656" max="6656" width="14.5703125" style="60" customWidth="1"/>
    <col min="6657" max="6657" width="8.7109375" style="60" customWidth="1"/>
    <col min="6658" max="6658" width="10.42578125" style="60" customWidth="1"/>
    <col min="6659" max="6661" width="8.7109375" style="60" customWidth="1"/>
    <col min="6662" max="6662" width="9" style="60"/>
    <col min="6663" max="6664" width="8.7109375" style="60" customWidth="1"/>
    <col min="6665" max="6665" width="4.28515625" style="60" customWidth="1"/>
    <col min="6666" max="6666" width="7" style="60" customWidth="1"/>
    <col min="6667" max="6667" width="4.28515625" style="60" customWidth="1"/>
    <col min="6668" max="6668" width="7.7109375" style="60" customWidth="1"/>
    <col min="6669" max="6885" width="9" style="60"/>
    <col min="6886" max="6886" width="1.42578125" style="60" customWidth="1"/>
    <col min="6887" max="6887" width="31.85546875" style="60" customWidth="1"/>
    <col min="6888" max="6888" width="8.28515625" style="60" customWidth="1"/>
    <col min="6889" max="6889" width="9.7109375" style="60" customWidth="1"/>
    <col min="6890" max="6890" width="8.28515625" style="60" customWidth="1"/>
    <col min="6891" max="6891" width="6.5703125" style="60" customWidth="1"/>
    <col min="6892" max="6892" width="14" style="60" customWidth="1"/>
    <col min="6893" max="6893" width="6.7109375" style="60" customWidth="1"/>
    <col min="6894" max="6894" width="8.85546875" style="60" customWidth="1"/>
    <col min="6895" max="6895" width="7.7109375" style="60" customWidth="1"/>
    <col min="6896" max="6896" width="7.28515625" style="60" customWidth="1"/>
    <col min="6897" max="6897" width="7.7109375" style="60" customWidth="1"/>
    <col min="6898" max="6898" width="8.28515625" style="60" customWidth="1"/>
    <col min="6899" max="6900" width="6.7109375" style="60" customWidth="1"/>
    <col min="6901" max="6901" width="8.85546875" style="60" customWidth="1"/>
    <col min="6902" max="6903" width="7.5703125" style="60" customWidth="1"/>
    <col min="6904" max="6904" width="7.7109375" style="60" customWidth="1"/>
    <col min="6905" max="6906" width="8.28515625" style="60" customWidth="1"/>
    <col min="6907" max="6907" width="6.28515625" style="60" customWidth="1"/>
    <col min="6908" max="6909" width="8.7109375" style="60" customWidth="1"/>
    <col min="6910" max="6910" width="9.5703125" style="60" customWidth="1"/>
    <col min="6911" max="6911" width="8.7109375" style="60" customWidth="1"/>
    <col min="6912" max="6912" width="14.5703125" style="60" customWidth="1"/>
    <col min="6913" max="6913" width="8.7109375" style="60" customWidth="1"/>
    <col min="6914" max="6914" width="10.42578125" style="60" customWidth="1"/>
    <col min="6915" max="6917" width="8.7109375" style="60" customWidth="1"/>
    <col min="6918" max="6918" width="9" style="60"/>
    <col min="6919" max="6920" width="8.7109375" style="60" customWidth="1"/>
    <col min="6921" max="6921" width="4.28515625" style="60" customWidth="1"/>
    <col min="6922" max="6922" width="7" style="60" customWidth="1"/>
    <col min="6923" max="6923" width="4.28515625" style="60" customWidth="1"/>
    <col min="6924" max="6924" width="7.7109375" style="60" customWidth="1"/>
    <col min="6925" max="7141" width="9" style="60"/>
    <col min="7142" max="7142" width="1.42578125" style="60" customWidth="1"/>
    <col min="7143" max="7143" width="31.85546875" style="60" customWidth="1"/>
    <col min="7144" max="7144" width="8.28515625" style="60" customWidth="1"/>
    <col min="7145" max="7145" width="9.7109375" style="60" customWidth="1"/>
    <col min="7146" max="7146" width="8.28515625" style="60" customWidth="1"/>
    <col min="7147" max="7147" width="6.5703125" style="60" customWidth="1"/>
    <col min="7148" max="7148" width="14" style="60" customWidth="1"/>
    <col min="7149" max="7149" width="6.7109375" style="60" customWidth="1"/>
    <col min="7150" max="7150" width="8.85546875" style="60" customWidth="1"/>
    <col min="7151" max="7151" width="7.7109375" style="60" customWidth="1"/>
    <col min="7152" max="7152" width="7.28515625" style="60" customWidth="1"/>
    <col min="7153" max="7153" width="7.7109375" style="60" customWidth="1"/>
    <col min="7154" max="7154" width="8.28515625" style="60" customWidth="1"/>
    <col min="7155" max="7156" width="6.7109375" style="60" customWidth="1"/>
    <col min="7157" max="7157" width="8.85546875" style="60" customWidth="1"/>
    <col min="7158" max="7159" width="7.5703125" style="60" customWidth="1"/>
    <col min="7160" max="7160" width="7.7109375" style="60" customWidth="1"/>
    <col min="7161" max="7162" width="8.28515625" style="60" customWidth="1"/>
    <col min="7163" max="7163" width="6.28515625" style="60" customWidth="1"/>
    <col min="7164" max="7165" width="8.7109375" style="60" customWidth="1"/>
    <col min="7166" max="7166" width="9.5703125" style="60" customWidth="1"/>
    <col min="7167" max="7167" width="8.7109375" style="60" customWidth="1"/>
    <col min="7168" max="7168" width="14.5703125" style="60" customWidth="1"/>
    <col min="7169" max="7169" width="8.7109375" style="60" customWidth="1"/>
    <col min="7170" max="7170" width="10.42578125" style="60" customWidth="1"/>
    <col min="7171" max="7173" width="8.7109375" style="60" customWidth="1"/>
    <col min="7174" max="7174" width="9" style="60"/>
    <col min="7175" max="7176" width="8.7109375" style="60" customWidth="1"/>
    <col min="7177" max="7177" width="4.28515625" style="60" customWidth="1"/>
    <col min="7178" max="7178" width="7" style="60" customWidth="1"/>
    <col min="7179" max="7179" width="4.28515625" style="60" customWidth="1"/>
    <col min="7180" max="7180" width="7.7109375" style="60" customWidth="1"/>
    <col min="7181" max="7397" width="9" style="60"/>
    <col min="7398" max="7398" width="1.42578125" style="60" customWidth="1"/>
    <col min="7399" max="7399" width="31.85546875" style="60" customWidth="1"/>
    <col min="7400" max="7400" width="8.28515625" style="60" customWidth="1"/>
    <col min="7401" max="7401" width="9.7109375" style="60" customWidth="1"/>
    <col min="7402" max="7402" width="8.28515625" style="60" customWidth="1"/>
    <col min="7403" max="7403" width="6.5703125" style="60" customWidth="1"/>
    <col min="7404" max="7404" width="14" style="60" customWidth="1"/>
    <col min="7405" max="7405" width="6.7109375" style="60" customWidth="1"/>
    <col min="7406" max="7406" width="8.85546875" style="60" customWidth="1"/>
    <col min="7407" max="7407" width="7.7109375" style="60" customWidth="1"/>
    <col min="7408" max="7408" width="7.28515625" style="60" customWidth="1"/>
    <col min="7409" max="7409" width="7.7109375" style="60" customWidth="1"/>
    <col min="7410" max="7410" width="8.28515625" style="60" customWidth="1"/>
    <col min="7411" max="7412" width="6.7109375" style="60" customWidth="1"/>
    <col min="7413" max="7413" width="8.85546875" style="60" customWidth="1"/>
    <col min="7414" max="7415" width="7.5703125" style="60" customWidth="1"/>
    <col min="7416" max="7416" width="7.7109375" style="60" customWidth="1"/>
    <col min="7417" max="7418" width="8.28515625" style="60" customWidth="1"/>
    <col min="7419" max="7419" width="6.28515625" style="60" customWidth="1"/>
    <col min="7420" max="7421" width="8.7109375" style="60" customWidth="1"/>
    <col min="7422" max="7422" width="9.5703125" style="60" customWidth="1"/>
    <col min="7423" max="7423" width="8.7109375" style="60" customWidth="1"/>
    <col min="7424" max="7424" width="14.5703125" style="60" customWidth="1"/>
    <col min="7425" max="7425" width="8.7109375" style="60" customWidth="1"/>
    <col min="7426" max="7426" width="10.42578125" style="60" customWidth="1"/>
    <col min="7427" max="7429" width="8.7109375" style="60" customWidth="1"/>
    <col min="7430" max="7430" width="9" style="60"/>
    <col min="7431" max="7432" width="8.7109375" style="60" customWidth="1"/>
    <col min="7433" max="7433" width="4.28515625" style="60" customWidth="1"/>
    <col min="7434" max="7434" width="7" style="60" customWidth="1"/>
    <col min="7435" max="7435" width="4.28515625" style="60" customWidth="1"/>
    <col min="7436" max="7436" width="7.7109375" style="60" customWidth="1"/>
    <col min="7437" max="7653" width="9" style="60"/>
    <col min="7654" max="7654" width="1.42578125" style="60" customWidth="1"/>
    <col min="7655" max="7655" width="31.85546875" style="60" customWidth="1"/>
    <col min="7656" max="7656" width="8.28515625" style="60" customWidth="1"/>
    <col min="7657" max="7657" width="9.7109375" style="60" customWidth="1"/>
    <col min="7658" max="7658" width="8.28515625" style="60" customWidth="1"/>
    <col min="7659" max="7659" width="6.5703125" style="60" customWidth="1"/>
    <col min="7660" max="7660" width="14" style="60" customWidth="1"/>
    <col min="7661" max="7661" width="6.7109375" style="60" customWidth="1"/>
    <col min="7662" max="7662" width="8.85546875" style="60" customWidth="1"/>
    <col min="7663" max="7663" width="7.7109375" style="60" customWidth="1"/>
    <col min="7664" max="7664" width="7.28515625" style="60" customWidth="1"/>
    <col min="7665" max="7665" width="7.7109375" style="60" customWidth="1"/>
    <col min="7666" max="7666" width="8.28515625" style="60" customWidth="1"/>
    <col min="7667" max="7668" width="6.7109375" style="60" customWidth="1"/>
    <col min="7669" max="7669" width="8.85546875" style="60" customWidth="1"/>
    <col min="7670" max="7671" width="7.5703125" style="60" customWidth="1"/>
    <col min="7672" max="7672" width="7.7109375" style="60" customWidth="1"/>
    <col min="7673" max="7674" width="8.28515625" style="60" customWidth="1"/>
    <col min="7675" max="7675" width="6.28515625" style="60" customWidth="1"/>
    <col min="7676" max="7677" width="8.7109375" style="60" customWidth="1"/>
    <col min="7678" max="7678" width="9.5703125" style="60" customWidth="1"/>
    <col min="7679" max="7679" width="8.7109375" style="60" customWidth="1"/>
    <col min="7680" max="7680" width="14.5703125" style="60" customWidth="1"/>
    <col min="7681" max="7681" width="8.7109375" style="60" customWidth="1"/>
    <col min="7682" max="7682" width="10.42578125" style="60" customWidth="1"/>
    <col min="7683" max="7685" width="8.7109375" style="60" customWidth="1"/>
    <col min="7686" max="7686" width="9" style="60"/>
    <col min="7687" max="7688" width="8.7109375" style="60" customWidth="1"/>
    <col min="7689" max="7689" width="4.28515625" style="60" customWidth="1"/>
    <col min="7690" max="7690" width="7" style="60" customWidth="1"/>
    <col min="7691" max="7691" width="4.28515625" style="60" customWidth="1"/>
    <col min="7692" max="7692" width="7.7109375" style="60" customWidth="1"/>
    <col min="7693" max="7909" width="9" style="60"/>
    <col min="7910" max="7910" width="1.42578125" style="60" customWidth="1"/>
    <col min="7911" max="7911" width="31.85546875" style="60" customWidth="1"/>
    <col min="7912" max="7912" width="8.28515625" style="60" customWidth="1"/>
    <col min="7913" max="7913" width="9.7109375" style="60" customWidth="1"/>
    <col min="7914" max="7914" width="8.28515625" style="60" customWidth="1"/>
    <col min="7915" max="7915" width="6.5703125" style="60" customWidth="1"/>
    <col min="7916" max="7916" width="14" style="60" customWidth="1"/>
    <col min="7917" max="7917" width="6.7109375" style="60" customWidth="1"/>
    <col min="7918" max="7918" width="8.85546875" style="60" customWidth="1"/>
    <col min="7919" max="7919" width="7.7109375" style="60" customWidth="1"/>
    <col min="7920" max="7920" width="7.28515625" style="60" customWidth="1"/>
    <col min="7921" max="7921" width="7.7109375" style="60" customWidth="1"/>
    <col min="7922" max="7922" width="8.28515625" style="60" customWidth="1"/>
    <col min="7923" max="7924" width="6.7109375" style="60" customWidth="1"/>
    <col min="7925" max="7925" width="8.85546875" style="60" customWidth="1"/>
    <col min="7926" max="7927" width="7.5703125" style="60" customWidth="1"/>
    <col min="7928" max="7928" width="7.7109375" style="60" customWidth="1"/>
    <col min="7929" max="7930" width="8.28515625" style="60" customWidth="1"/>
    <col min="7931" max="7931" width="6.28515625" style="60" customWidth="1"/>
    <col min="7932" max="7933" width="8.7109375" style="60" customWidth="1"/>
    <col min="7934" max="7934" width="9.5703125" style="60" customWidth="1"/>
    <col min="7935" max="7935" width="8.7109375" style="60" customWidth="1"/>
    <col min="7936" max="7936" width="14.5703125" style="60" customWidth="1"/>
    <col min="7937" max="7937" width="8.7109375" style="60" customWidth="1"/>
    <col min="7938" max="7938" width="10.42578125" style="60" customWidth="1"/>
    <col min="7939" max="7941" width="8.7109375" style="60" customWidth="1"/>
    <col min="7942" max="7942" width="9" style="60"/>
    <col min="7943" max="7944" width="8.7109375" style="60" customWidth="1"/>
    <col min="7945" max="7945" width="4.28515625" style="60" customWidth="1"/>
    <col min="7946" max="7946" width="7" style="60" customWidth="1"/>
    <col min="7947" max="7947" width="4.28515625" style="60" customWidth="1"/>
    <col min="7948" max="7948" width="7.7109375" style="60" customWidth="1"/>
    <col min="7949" max="8165" width="9" style="60"/>
    <col min="8166" max="8166" width="1.42578125" style="60" customWidth="1"/>
    <col min="8167" max="8167" width="31.85546875" style="60" customWidth="1"/>
    <col min="8168" max="8168" width="8.28515625" style="60" customWidth="1"/>
    <col min="8169" max="8169" width="9.7109375" style="60" customWidth="1"/>
    <col min="8170" max="8170" width="8.28515625" style="60" customWidth="1"/>
    <col min="8171" max="8171" width="6.5703125" style="60" customWidth="1"/>
    <col min="8172" max="8172" width="14" style="60" customWidth="1"/>
    <col min="8173" max="8173" width="6.7109375" style="60" customWidth="1"/>
    <col min="8174" max="8174" width="8.85546875" style="60" customWidth="1"/>
    <col min="8175" max="8175" width="7.7109375" style="60" customWidth="1"/>
    <col min="8176" max="8176" width="7.28515625" style="60" customWidth="1"/>
    <col min="8177" max="8177" width="7.7109375" style="60" customWidth="1"/>
    <col min="8178" max="8178" width="8.28515625" style="60" customWidth="1"/>
    <col min="8179" max="8180" width="6.7109375" style="60" customWidth="1"/>
    <col min="8181" max="8181" width="8.85546875" style="60" customWidth="1"/>
    <col min="8182" max="8183" width="7.5703125" style="60" customWidth="1"/>
    <col min="8184" max="8184" width="7.7109375" style="60" customWidth="1"/>
    <col min="8185" max="8186" width="8.28515625" style="60" customWidth="1"/>
    <col min="8187" max="8187" width="6.28515625" style="60" customWidth="1"/>
    <col min="8188" max="8189" width="8.7109375" style="60" customWidth="1"/>
    <col min="8190" max="8190" width="9.5703125" style="60" customWidth="1"/>
    <col min="8191" max="8191" width="8.7109375" style="60" customWidth="1"/>
    <col min="8192" max="8192" width="14.5703125" style="60" customWidth="1"/>
    <col min="8193" max="8193" width="8.7109375" style="60" customWidth="1"/>
    <col min="8194" max="8194" width="10.42578125" style="60" customWidth="1"/>
    <col min="8195" max="8197" width="8.7109375" style="60" customWidth="1"/>
    <col min="8198" max="8198" width="9" style="60"/>
    <col min="8199" max="8200" width="8.7109375" style="60" customWidth="1"/>
    <col min="8201" max="8201" width="4.28515625" style="60" customWidth="1"/>
    <col min="8202" max="8202" width="7" style="60" customWidth="1"/>
    <col min="8203" max="8203" width="4.28515625" style="60" customWidth="1"/>
    <col min="8204" max="8204" width="7.7109375" style="60" customWidth="1"/>
    <col min="8205" max="8421" width="9" style="60"/>
    <col min="8422" max="8422" width="1.42578125" style="60" customWidth="1"/>
    <col min="8423" max="8423" width="31.85546875" style="60" customWidth="1"/>
    <col min="8424" max="8424" width="8.28515625" style="60" customWidth="1"/>
    <col min="8425" max="8425" width="9.7109375" style="60" customWidth="1"/>
    <col min="8426" max="8426" width="8.28515625" style="60" customWidth="1"/>
    <col min="8427" max="8427" width="6.5703125" style="60" customWidth="1"/>
    <col min="8428" max="8428" width="14" style="60" customWidth="1"/>
    <col min="8429" max="8429" width="6.7109375" style="60" customWidth="1"/>
    <col min="8430" max="8430" width="8.85546875" style="60" customWidth="1"/>
    <col min="8431" max="8431" width="7.7109375" style="60" customWidth="1"/>
    <col min="8432" max="8432" width="7.28515625" style="60" customWidth="1"/>
    <col min="8433" max="8433" width="7.7109375" style="60" customWidth="1"/>
    <col min="8434" max="8434" width="8.28515625" style="60" customWidth="1"/>
    <col min="8435" max="8436" width="6.7109375" style="60" customWidth="1"/>
    <col min="8437" max="8437" width="8.85546875" style="60" customWidth="1"/>
    <col min="8438" max="8439" width="7.5703125" style="60" customWidth="1"/>
    <col min="8440" max="8440" width="7.7109375" style="60" customWidth="1"/>
    <col min="8441" max="8442" width="8.28515625" style="60" customWidth="1"/>
    <col min="8443" max="8443" width="6.28515625" style="60" customWidth="1"/>
    <col min="8444" max="8445" width="8.7109375" style="60" customWidth="1"/>
    <col min="8446" max="8446" width="9.5703125" style="60" customWidth="1"/>
    <col min="8447" max="8447" width="8.7109375" style="60" customWidth="1"/>
    <col min="8448" max="8448" width="14.5703125" style="60" customWidth="1"/>
    <col min="8449" max="8449" width="8.7109375" style="60" customWidth="1"/>
    <col min="8450" max="8450" width="10.42578125" style="60" customWidth="1"/>
    <col min="8451" max="8453" width="8.7109375" style="60" customWidth="1"/>
    <col min="8454" max="8454" width="9" style="60"/>
    <col min="8455" max="8456" width="8.7109375" style="60" customWidth="1"/>
    <col min="8457" max="8457" width="4.28515625" style="60" customWidth="1"/>
    <col min="8458" max="8458" width="7" style="60" customWidth="1"/>
    <col min="8459" max="8459" width="4.28515625" style="60" customWidth="1"/>
    <col min="8460" max="8460" width="7.7109375" style="60" customWidth="1"/>
    <col min="8461" max="8677" width="9" style="60"/>
    <col min="8678" max="8678" width="1.42578125" style="60" customWidth="1"/>
    <col min="8679" max="8679" width="31.85546875" style="60" customWidth="1"/>
    <col min="8680" max="8680" width="8.28515625" style="60" customWidth="1"/>
    <col min="8681" max="8681" width="9.7109375" style="60" customWidth="1"/>
    <col min="8682" max="8682" width="8.28515625" style="60" customWidth="1"/>
    <col min="8683" max="8683" width="6.5703125" style="60" customWidth="1"/>
    <col min="8684" max="8684" width="14" style="60" customWidth="1"/>
    <col min="8685" max="8685" width="6.7109375" style="60" customWidth="1"/>
    <col min="8686" max="8686" width="8.85546875" style="60" customWidth="1"/>
    <col min="8687" max="8687" width="7.7109375" style="60" customWidth="1"/>
    <col min="8688" max="8688" width="7.28515625" style="60" customWidth="1"/>
    <col min="8689" max="8689" width="7.7109375" style="60" customWidth="1"/>
    <col min="8690" max="8690" width="8.28515625" style="60" customWidth="1"/>
    <col min="8691" max="8692" width="6.7109375" style="60" customWidth="1"/>
    <col min="8693" max="8693" width="8.85546875" style="60" customWidth="1"/>
    <col min="8694" max="8695" width="7.5703125" style="60" customWidth="1"/>
    <col min="8696" max="8696" width="7.7109375" style="60" customWidth="1"/>
    <col min="8697" max="8698" width="8.28515625" style="60" customWidth="1"/>
    <col min="8699" max="8699" width="6.28515625" style="60" customWidth="1"/>
    <col min="8700" max="8701" width="8.7109375" style="60" customWidth="1"/>
    <col min="8702" max="8702" width="9.5703125" style="60" customWidth="1"/>
    <col min="8703" max="8703" width="8.7109375" style="60" customWidth="1"/>
    <col min="8704" max="8704" width="14.5703125" style="60" customWidth="1"/>
    <col min="8705" max="8705" width="8.7109375" style="60" customWidth="1"/>
    <col min="8706" max="8706" width="10.42578125" style="60" customWidth="1"/>
    <col min="8707" max="8709" width="8.7109375" style="60" customWidth="1"/>
    <col min="8710" max="8710" width="9" style="60"/>
    <col min="8711" max="8712" width="8.7109375" style="60" customWidth="1"/>
    <col min="8713" max="8713" width="4.28515625" style="60" customWidth="1"/>
    <col min="8714" max="8714" width="7" style="60" customWidth="1"/>
    <col min="8715" max="8715" width="4.28515625" style="60" customWidth="1"/>
    <col min="8716" max="8716" width="7.7109375" style="60" customWidth="1"/>
    <col min="8717" max="8933" width="9" style="60"/>
    <col min="8934" max="8934" width="1.42578125" style="60" customWidth="1"/>
    <col min="8935" max="8935" width="31.85546875" style="60" customWidth="1"/>
    <col min="8936" max="8936" width="8.28515625" style="60" customWidth="1"/>
    <col min="8937" max="8937" width="9.7109375" style="60" customWidth="1"/>
    <col min="8938" max="8938" width="8.28515625" style="60" customWidth="1"/>
    <col min="8939" max="8939" width="6.5703125" style="60" customWidth="1"/>
    <col min="8940" max="8940" width="14" style="60" customWidth="1"/>
    <col min="8941" max="8941" width="6.7109375" style="60" customWidth="1"/>
    <col min="8942" max="8942" width="8.85546875" style="60" customWidth="1"/>
    <col min="8943" max="8943" width="7.7109375" style="60" customWidth="1"/>
    <col min="8944" max="8944" width="7.28515625" style="60" customWidth="1"/>
    <col min="8945" max="8945" width="7.7109375" style="60" customWidth="1"/>
    <col min="8946" max="8946" width="8.28515625" style="60" customWidth="1"/>
    <col min="8947" max="8948" width="6.7109375" style="60" customWidth="1"/>
    <col min="8949" max="8949" width="8.85546875" style="60" customWidth="1"/>
    <col min="8950" max="8951" width="7.5703125" style="60" customWidth="1"/>
    <col min="8952" max="8952" width="7.7109375" style="60" customWidth="1"/>
    <col min="8953" max="8954" width="8.28515625" style="60" customWidth="1"/>
    <col min="8955" max="8955" width="6.28515625" style="60" customWidth="1"/>
    <col min="8956" max="8957" width="8.7109375" style="60" customWidth="1"/>
    <col min="8958" max="8958" width="9.5703125" style="60" customWidth="1"/>
    <col min="8959" max="8959" width="8.7109375" style="60" customWidth="1"/>
    <col min="8960" max="8960" width="14.5703125" style="60" customWidth="1"/>
    <col min="8961" max="8961" width="8.7109375" style="60" customWidth="1"/>
    <col min="8962" max="8962" width="10.42578125" style="60" customWidth="1"/>
    <col min="8963" max="8965" width="8.7109375" style="60" customWidth="1"/>
    <col min="8966" max="8966" width="9" style="60"/>
    <col min="8967" max="8968" width="8.7109375" style="60" customWidth="1"/>
    <col min="8969" max="8969" width="4.28515625" style="60" customWidth="1"/>
    <col min="8970" max="8970" width="7" style="60" customWidth="1"/>
    <col min="8971" max="8971" width="4.28515625" style="60" customWidth="1"/>
    <col min="8972" max="8972" width="7.7109375" style="60" customWidth="1"/>
    <col min="8973" max="9189" width="9" style="60"/>
    <col min="9190" max="9190" width="1.42578125" style="60" customWidth="1"/>
    <col min="9191" max="9191" width="31.85546875" style="60" customWidth="1"/>
    <col min="9192" max="9192" width="8.28515625" style="60" customWidth="1"/>
    <col min="9193" max="9193" width="9.7109375" style="60" customWidth="1"/>
    <col min="9194" max="9194" width="8.28515625" style="60" customWidth="1"/>
    <col min="9195" max="9195" width="6.5703125" style="60" customWidth="1"/>
    <col min="9196" max="9196" width="14" style="60" customWidth="1"/>
    <col min="9197" max="9197" width="6.7109375" style="60" customWidth="1"/>
    <col min="9198" max="9198" width="8.85546875" style="60" customWidth="1"/>
    <col min="9199" max="9199" width="7.7109375" style="60" customWidth="1"/>
    <col min="9200" max="9200" width="7.28515625" style="60" customWidth="1"/>
    <col min="9201" max="9201" width="7.7109375" style="60" customWidth="1"/>
    <col min="9202" max="9202" width="8.28515625" style="60" customWidth="1"/>
    <col min="9203" max="9204" width="6.7109375" style="60" customWidth="1"/>
    <col min="9205" max="9205" width="8.85546875" style="60" customWidth="1"/>
    <col min="9206" max="9207" width="7.5703125" style="60" customWidth="1"/>
    <col min="9208" max="9208" width="7.7109375" style="60" customWidth="1"/>
    <col min="9209" max="9210" width="8.28515625" style="60" customWidth="1"/>
    <col min="9211" max="9211" width="6.28515625" style="60" customWidth="1"/>
    <col min="9212" max="9213" width="8.7109375" style="60" customWidth="1"/>
    <col min="9214" max="9214" width="9.5703125" style="60" customWidth="1"/>
    <col min="9215" max="9215" width="8.7109375" style="60" customWidth="1"/>
    <col min="9216" max="9216" width="14.5703125" style="60" customWidth="1"/>
    <col min="9217" max="9217" width="8.7109375" style="60" customWidth="1"/>
    <col min="9218" max="9218" width="10.42578125" style="60" customWidth="1"/>
    <col min="9219" max="9221" width="8.7109375" style="60" customWidth="1"/>
    <col min="9222" max="9222" width="9" style="60"/>
    <col min="9223" max="9224" width="8.7109375" style="60" customWidth="1"/>
    <col min="9225" max="9225" width="4.28515625" style="60" customWidth="1"/>
    <col min="9226" max="9226" width="7" style="60" customWidth="1"/>
    <col min="9227" max="9227" width="4.28515625" style="60" customWidth="1"/>
    <col min="9228" max="9228" width="7.7109375" style="60" customWidth="1"/>
    <col min="9229" max="9445" width="9" style="60"/>
    <col min="9446" max="9446" width="1.42578125" style="60" customWidth="1"/>
    <col min="9447" max="9447" width="31.85546875" style="60" customWidth="1"/>
    <col min="9448" max="9448" width="8.28515625" style="60" customWidth="1"/>
    <col min="9449" max="9449" width="9.7109375" style="60" customWidth="1"/>
    <col min="9450" max="9450" width="8.28515625" style="60" customWidth="1"/>
    <col min="9451" max="9451" width="6.5703125" style="60" customWidth="1"/>
    <col min="9452" max="9452" width="14" style="60" customWidth="1"/>
    <col min="9453" max="9453" width="6.7109375" style="60" customWidth="1"/>
    <col min="9454" max="9454" width="8.85546875" style="60" customWidth="1"/>
    <col min="9455" max="9455" width="7.7109375" style="60" customWidth="1"/>
    <col min="9456" max="9456" width="7.28515625" style="60" customWidth="1"/>
    <col min="9457" max="9457" width="7.7109375" style="60" customWidth="1"/>
    <col min="9458" max="9458" width="8.28515625" style="60" customWidth="1"/>
    <col min="9459" max="9460" width="6.7109375" style="60" customWidth="1"/>
    <col min="9461" max="9461" width="8.85546875" style="60" customWidth="1"/>
    <col min="9462" max="9463" width="7.5703125" style="60" customWidth="1"/>
    <col min="9464" max="9464" width="7.7109375" style="60" customWidth="1"/>
    <col min="9465" max="9466" width="8.28515625" style="60" customWidth="1"/>
    <col min="9467" max="9467" width="6.28515625" style="60" customWidth="1"/>
    <col min="9468" max="9469" width="8.7109375" style="60" customWidth="1"/>
    <col min="9470" max="9470" width="9.5703125" style="60" customWidth="1"/>
    <col min="9471" max="9471" width="8.7109375" style="60" customWidth="1"/>
    <col min="9472" max="9472" width="14.5703125" style="60" customWidth="1"/>
    <col min="9473" max="9473" width="8.7109375" style="60" customWidth="1"/>
    <col min="9474" max="9474" width="10.42578125" style="60" customWidth="1"/>
    <col min="9475" max="9477" width="8.7109375" style="60" customWidth="1"/>
    <col min="9478" max="9478" width="9" style="60"/>
    <col min="9479" max="9480" width="8.7109375" style="60" customWidth="1"/>
    <col min="9481" max="9481" width="4.28515625" style="60" customWidth="1"/>
    <col min="9482" max="9482" width="7" style="60" customWidth="1"/>
    <col min="9483" max="9483" width="4.28515625" style="60" customWidth="1"/>
    <col min="9484" max="9484" width="7.7109375" style="60" customWidth="1"/>
    <col min="9485" max="9701" width="9" style="60"/>
    <col min="9702" max="9702" width="1.42578125" style="60" customWidth="1"/>
    <col min="9703" max="9703" width="31.85546875" style="60" customWidth="1"/>
    <col min="9704" max="9704" width="8.28515625" style="60" customWidth="1"/>
    <col min="9705" max="9705" width="9.7109375" style="60" customWidth="1"/>
    <col min="9706" max="9706" width="8.28515625" style="60" customWidth="1"/>
    <col min="9707" max="9707" width="6.5703125" style="60" customWidth="1"/>
    <col min="9708" max="9708" width="14" style="60" customWidth="1"/>
    <col min="9709" max="9709" width="6.7109375" style="60" customWidth="1"/>
    <col min="9710" max="9710" width="8.85546875" style="60" customWidth="1"/>
    <col min="9711" max="9711" width="7.7109375" style="60" customWidth="1"/>
    <col min="9712" max="9712" width="7.28515625" style="60" customWidth="1"/>
    <col min="9713" max="9713" width="7.7109375" style="60" customWidth="1"/>
    <col min="9714" max="9714" width="8.28515625" style="60" customWidth="1"/>
    <col min="9715" max="9716" width="6.7109375" style="60" customWidth="1"/>
    <col min="9717" max="9717" width="8.85546875" style="60" customWidth="1"/>
    <col min="9718" max="9719" width="7.5703125" style="60" customWidth="1"/>
    <col min="9720" max="9720" width="7.7109375" style="60" customWidth="1"/>
    <col min="9721" max="9722" width="8.28515625" style="60" customWidth="1"/>
    <col min="9723" max="9723" width="6.28515625" style="60" customWidth="1"/>
    <col min="9724" max="9725" width="8.7109375" style="60" customWidth="1"/>
    <col min="9726" max="9726" width="9.5703125" style="60" customWidth="1"/>
    <col min="9727" max="9727" width="8.7109375" style="60" customWidth="1"/>
    <col min="9728" max="9728" width="14.5703125" style="60" customWidth="1"/>
    <col min="9729" max="9729" width="8.7109375" style="60" customWidth="1"/>
    <col min="9730" max="9730" width="10.42578125" style="60" customWidth="1"/>
    <col min="9731" max="9733" width="8.7109375" style="60" customWidth="1"/>
    <col min="9734" max="9734" width="9" style="60"/>
    <col min="9735" max="9736" width="8.7109375" style="60" customWidth="1"/>
    <col min="9737" max="9737" width="4.28515625" style="60" customWidth="1"/>
    <col min="9738" max="9738" width="7" style="60" customWidth="1"/>
    <col min="9739" max="9739" width="4.28515625" style="60" customWidth="1"/>
    <col min="9740" max="9740" width="7.7109375" style="60" customWidth="1"/>
    <col min="9741" max="9957" width="9" style="60"/>
    <col min="9958" max="9958" width="1.42578125" style="60" customWidth="1"/>
    <col min="9959" max="9959" width="31.85546875" style="60" customWidth="1"/>
    <col min="9960" max="9960" width="8.28515625" style="60" customWidth="1"/>
    <col min="9961" max="9961" width="9.7109375" style="60" customWidth="1"/>
    <col min="9962" max="9962" width="8.28515625" style="60" customWidth="1"/>
    <col min="9963" max="9963" width="6.5703125" style="60" customWidth="1"/>
    <col min="9964" max="9964" width="14" style="60" customWidth="1"/>
    <col min="9965" max="9965" width="6.7109375" style="60" customWidth="1"/>
    <col min="9966" max="9966" width="8.85546875" style="60" customWidth="1"/>
    <col min="9967" max="9967" width="7.7109375" style="60" customWidth="1"/>
    <col min="9968" max="9968" width="7.28515625" style="60" customWidth="1"/>
    <col min="9969" max="9969" width="7.7109375" style="60" customWidth="1"/>
    <col min="9970" max="9970" width="8.28515625" style="60" customWidth="1"/>
    <col min="9971" max="9972" width="6.7109375" style="60" customWidth="1"/>
    <col min="9973" max="9973" width="8.85546875" style="60" customWidth="1"/>
    <col min="9974" max="9975" width="7.5703125" style="60" customWidth="1"/>
    <col min="9976" max="9976" width="7.7109375" style="60" customWidth="1"/>
    <col min="9977" max="9978" width="8.28515625" style="60" customWidth="1"/>
    <col min="9979" max="9979" width="6.28515625" style="60" customWidth="1"/>
    <col min="9980" max="9981" width="8.7109375" style="60" customWidth="1"/>
    <col min="9982" max="9982" width="9.5703125" style="60" customWidth="1"/>
    <col min="9983" max="9983" width="8.7109375" style="60" customWidth="1"/>
    <col min="9984" max="9984" width="14.5703125" style="60" customWidth="1"/>
    <col min="9985" max="9985" width="8.7109375" style="60" customWidth="1"/>
    <col min="9986" max="9986" width="10.42578125" style="60" customWidth="1"/>
    <col min="9987" max="9989" width="8.7109375" style="60" customWidth="1"/>
    <col min="9990" max="9990" width="9" style="60"/>
    <col min="9991" max="9992" width="8.7109375" style="60" customWidth="1"/>
    <col min="9993" max="9993" width="4.28515625" style="60" customWidth="1"/>
    <col min="9994" max="9994" width="7" style="60" customWidth="1"/>
    <col min="9995" max="9995" width="4.28515625" style="60" customWidth="1"/>
    <col min="9996" max="9996" width="7.7109375" style="60" customWidth="1"/>
    <col min="9997" max="10213" width="9" style="60"/>
    <col min="10214" max="10214" width="1.42578125" style="60" customWidth="1"/>
    <col min="10215" max="10215" width="31.85546875" style="60" customWidth="1"/>
    <col min="10216" max="10216" width="8.28515625" style="60" customWidth="1"/>
    <col min="10217" max="10217" width="9.7109375" style="60" customWidth="1"/>
    <col min="10218" max="10218" width="8.28515625" style="60" customWidth="1"/>
    <col min="10219" max="10219" width="6.5703125" style="60" customWidth="1"/>
    <col min="10220" max="10220" width="14" style="60" customWidth="1"/>
    <col min="10221" max="10221" width="6.7109375" style="60" customWidth="1"/>
    <col min="10222" max="10222" width="8.85546875" style="60" customWidth="1"/>
    <col min="10223" max="10223" width="7.7109375" style="60" customWidth="1"/>
    <col min="10224" max="10224" width="7.28515625" style="60" customWidth="1"/>
    <col min="10225" max="10225" width="7.7109375" style="60" customWidth="1"/>
    <col min="10226" max="10226" width="8.28515625" style="60" customWidth="1"/>
    <col min="10227" max="10228" width="6.7109375" style="60" customWidth="1"/>
    <col min="10229" max="10229" width="8.85546875" style="60" customWidth="1"/>
    <col min="10230" max="10231" width="7.5703125" style="60" customWidth="1"/>
    <col min="10232" max="10232" width="7.7109375" style="60" customWidth="1"/>
    <col min="10233" max="10234" width="8.28515625" style="60" customWidth="1"/>
    <col min="10235" max="10235" width="6.28515625" style="60" customWidth="1"/>
    <col min="10236" max="10237" width="8.7109375" style="60" customWidth="1"/>
    <col min="10238" max="10238" width="9.5703125" style="60" customWidth="1"/>
    <col min="10239" max="10239" width="8.7109375" style="60" customWidth="1"/>
    <col min="10240" max="10240" width="14.5703125" style="60" customWidth="1"/>
    <col min="10241" max="10241" width="8.7109375" style="60" customWidth="1"/>
    <col min="10242" max="10242" width="10.42578125" style="60" customWidth="1"/>
    <col min="10243" max="10245" width="8.7109375" style="60" customWidth="1"/>
    <col min="10246" max="10246" width="9" style="60"/>
    <col min="10247" max="10248" width="8.7109375" style="60" customWidth="1"/>
    <col min="10249" max="10249" width="4.28515625" style="60" customWidth="1"/>
    <col min="10250" max="10250" width="7" style="60" customWidth="1"/>
    <col min="10251" max="10251" width="4.28515625" style="60" customWidth="1"/>
    <col min="10252" max="10252" width="7.7109375" style="60" customWidth="1"/>
    <col min="10253" max="10469" width="9" style="60"/>
    <col min="10470" max="10470" width="1.42578125" style="60" customWidth="1"/>
    <col min="10471" max="10471" width="31.85546875" style="60" customWidth="1"/>
    <col min="10472" max="10472" width="8.28515625" style="60" customWidth="1"/>
    <col min="10473" max="10473" width="9.7109375" style="60" customWidth="1"/>
    <col min="10474" max="10474" width="8.28515625" style="60" customWidth="1"/>
    <col min="10475" max="10475" width="6.5703125" style="60" customWidth="1"/>
    <col min="10476" max="10476" width="14" style="60" customWidth="1"/>
    <col min="10477" max="10477" width="6.7109375" style="60" customWidth="1"/>
    <col min="10478" max="10478" width="8.85546875" style="60" customWidth="1"/>
    <col min="10479" max="10479" width="7.7109375" style="60" customWidth="1"/>
    <col min="10480" max="10480" width="7.28515625" style="60" customWidth="1"/>
    <col min="10481" max="10481" width="7.7109375" style="60" customWidth="1"/>
    <col min="10482" max="10482" width="8.28515625" style="60" customWidth="1"/>
    <col min="10483" max="10484" width="6.7109375" style="60" customWidth="1"/>
    <col min="10485" max="10485" width="8.85546875" style="60" customWidth="1"/>
    <col min="10486" max="10487" width="7.5703125" style="60" customWidth="1"/>
    <col min="10488" max="10488" width="7.7109375" style="60" customWidth="1"/>
    <col min="10489" max="10490" width="8.28515625" style="60" customWidth="1"/>
    <col min="10491" max="10491" width="6.28515625" style="60" customWidth="1"/>
    <col min="10492" max="10493" width="8.7109375" style="60" customWidth="1"/>
    <col min="10494" max="10494" width="9.5703125" style="60" customWidth="1"/>
    <col min="10495" max="10495" width="8.7109375" style="60" customWidth="1"/>
    <col min="10496" max="10496" width="14.5703125" style="60" customWidth="1"/>
    <col min="10497" max="10497" width="8.7109375" style="60" customWidth="1"/>
    <col min="10498" max="10498" width="10.42578125" style="60" customWidth="1"/>
    <col min="10499" max="10501" width="8.7109375" style="60" customWidth="1"/>
    <col min="10502" max="10502" width="9" style="60"/>
    <col min="10503" max="10504" width="8.7109375" style="60" customWidth="1"/>
    <col min="10505" max="10505" width="4.28515625" style="60" customWidth="1"/>
    <col min="10506" max="10506" width="7" style="60" customWidth="1"/>
    <col min="10507" max="10507" width="4.28515625" style="60" customWidth="1"/>
    <col min="10508" max="10508" width="7.7109375" style="60" customWidth="1"/>
    <col min="10509" max="10725" width="9" style="60"/>
    <col min="10726" max="10726" width="1.42578125" style="60" customWidth="1"/>
    <col min="10727" max="10727" width="31.85546875" style="60" customWidth="1"/>
    <col min="10728" max="10728" width="8.28515625" style="60" customWidth="1"/>
    <col min="10729" max="10729" width="9.7109375" style="60" customWidth="1"/>
    <col min="10730" max="10730" width="8.28515625" style="60" customWidth="1"/>
    <col min="10731" max="10731" width="6.5703125" style="60" customWidth="1"/>
    <col min="10732" max="10732" width="14" style="60" customWidth="1"/>
    <col min="10733" max="10733" width="6.7109375" style="60" customWidth="1"/>
    <col min="10734" max="10734" width="8.85546875" style="60" customWidth="1"/>
    <col min="10735" max="10735" width="7.7109375" style="60" customWidth="1"/>
    <col min="10736" max="10736" width="7.28515625" style="60" customWidth="1"/>
    <col min="10737" max="10737" width="7.7109375" style="60" customWidth="1"/>
    <col min="10738" max="10738" width="8.28515625" style="60" customWidth="1"/>
    <col min="10739" max="10740" width="6.7109375" style="60" customWidth="1"/>
    <col min="10741" max="10741" width="8.85546875" style="60" customWidth="1"/>
    <col min="10742" max="10743" width="7.5703125" style="60" customWidth="1"/>
    <col min="10744" max="10744" width="7.7109375" style="60" customWidth="1"/>
    <col min="10745" max="10746" width="8.28515625" style="60" customWidth="1"/>
    <col min="10747" max="10747" width="6.28515625" style="60" customWidth="1"/>
    <col min="10748" max="10749" width="8.7109375" style="60" customWidth="1"/>
    <col min="10750" max="10750" width="9.5703125" style="60" customWidth="1"/>
    <col min="10751" max="10751" width="8.7109375" style="60" customWidth="1"/>
    <col min="10752" max="10752" width="14.5703125" style="60" customWidth="1"/>
    <col min="10753" max="10753" width="8.7109375" style="60" customWidth="1"/>
    <col min="10754" max="10754" width="10.42578125" style="60" customWidth="1"/>
    <col min="10755" max="10757" width="8.7109375" style="60" customWidth="1"/>
    <col min="10758" max="10758" width="9" style="60"/>
    <col min="10759" max="10760" width="8.7109375" style="60" customWidth="1"/>
    <col min="10761" max="10761" width="4.28515625" style="60" customWidth="1"/>
    <col min="10762" max="10762" width="7" style="60" customWidth="1"/>
    <col min="10763" max="10763" width="4.28515625" style="60" customWidth="1"/>
    <col min="10764" max="10764" width="7.7109375" style="60" customWidth="1"/>
    <col min="10765" max="10981" width="9" style="60"/>
    <col min="10982" max="10982" width="1.42578125" style="60" customWidth="1"/>
    <col min="10983" max="10983" width="31.85546875" style="60" customWidth="1"/>
    <col min="10984" max="10984" width="8.28515625" style="60" customWidth="1"/>
    <col min="10985" max="10985" width="9.7109375" style="60" customWidth="1"/>
    <col min="10986" max="10986" width="8.28515625" style="60" customWidth="1"/>
    <col min="10987" max="10987" width="6.5703125" style="60" customWidth="1"/>
    <col min="10988" max="10988" width="14" style="60" customWidth="1"/>
    <col min="10989" max="10989" width="6.7109375" style="60" customWidth="1"/>
    <col min="10990" max="10990" width="8.85546875" style="60" customWidth="1"/>
    <col min="10991" max="10991" width="7.7109375" style="60" customWidth="1"/>
    <col min="10992" max="10992" width="7.28515625" style="60" customWidth="1"/>
    <col min="10993" max="10993" width="7.7109375" style="60" customWidth="1"/>
    <col min="10994" max="10994" width="8.28515625" style="60" customWidth="1"/>
    <col min="10995" max="10996" width="6.7109375" style="60" customWidth="1"/>
    <col min="10997" max="10997" width="8.85546875" style="60" customWidth="1"/>
    <col min="10998" max="10999" width="7.5703125" style="60" customWidth="1"/>
    <col min="11000" max="11000" width="7.7109375" style="60" customWidth="1"/>
    <col min="11001" max="11002" width="8.28515625" style="60" customWidth="1"/>
    <col min="11003" max="11003" width="6.28515625" style="60" customWidth="1"/>
    <col min="11004" max="11005" width="8.7109375" style="60" customWidth="1"/>
    <col min="11006" max="11006" width="9.5703125" style="60" customWidth="1"/>
    <col min="11007" max="11007" width="8.7109375" style="60" customWidth="1"/>
    <col min="11008" max="11008" width="14.5703125" style="60" customWidth="1"/>
    <col min="11009" max="11009" width="8.7109375" style="60" customWidth="1"/>
    <col min="11010" max="11010" width="10.42578125" style="60" customWidth="1"/>
    <col min="11011" max="11013" width="8.7109375" style="60" customWidth="1"/>
    <col min="11014" max="11014" width="9" style="60"/>
    <col min="11015" max="11016" width="8.7109375" style="60" customWidth="1"/>
    <col min="11017" max="11017" width="4.28515625" style="60" customWidth="1"/>
    <col min="11018" max="11018" width="7" style="60" customWidth="1"/>
    <col min="11019" max="11019" width="4.28515625" style="60" customWidth="1"/>
    <col min="11020" max="11020" width="7.7109375" style="60" customWidth="1"/>
    <col min="11021" max="11237" width="9" style="60"/>
    <col min="11238" max="11238" width="1.42578125" style="60" customWidth="1"/>
    <col min="11239" max="11239" width="31.85546875" style="60" customWidth="1"/>
    <col min="11240" max="11240" width="8.28515625" style="60" customWidth="1"/>
    <col min="11241" max="11241" width="9.7109375" style="60" customWidth="1"/>
    <col min="11242" max="11242" width="8.28515625" style="60" customWidth="1"/>
    <col min="11243" max="11243" width="6.5703125" style="60" customWidth="1"/>
    <col min="11244" max="11244" width="14" style="60" customWidth="1"/>
    <col min="11245" max="11245" width="6.7109375" style="60" customWidth="1"/>
    <col min="11246" max="11246" width="8.85546875" style="60" customWidth="1"/>
    <col min="11247" max="11247" width="7.7109375" style="60" customWidth="1"/>
    <col min="11248" max="11248" width="7.28515625" style="60" customWidth="1"/>
    <col min="11249" max="11249" width="7.7109375" style="60" customWidth="1"/>
    <col min="11250" max="11250" width="8.28515625" style="60" customWidth="1"/>
    <col min="11251" max="11252" width="6.7109375" style="60" customWidth="1"/>
    <col min="11253" max="11253" width="8.85546875" style="60" customWidth="1"/>
    <col min="11254" max="11255" width="7.5703125" style="60" customWidth="1"/>
    <col min="11256" max="11256" width="7.7109375" style="60" customWidth="1"/>
    <col min="11257" max="11258" width="8.28515625" style="60" customWidth="1"/>
    <col min="11259" max="11259" width="6.28515625" style="60" customWidth="1"/>
    <col min="11260" max="11261" width="8.7109375" style="60" customWidth="1"/>
    <col min="11262" max="11262" width="9.5703125" style="60" customWidth="1"/>
    <col min="11263" max="11263" width="8.7109375" style="60" customWidth="1"/>
    <col min="11264" max="11264" width="14.5703125" style="60" customWidth="1"/>
    <col min="11265" max="11265" width="8.7109375" style="60" customWidth="1"/>
    <col min="11266" max="11266" width="10.42578125" style="60" customWidth="1"/>
    <col min="11267" max="11269" width="8.7109375" style="60" customWidth="1"/>
    <col min="11270" max="11270" width="9" style="60"/>
    <col min="11271" max="11272" width="8.7109375" style="60" customWidth="1"/>
    <col min="11273" max="11273" width="4.28515625" style="60" customWidth="1"/>
    <col min="11274" max="11274" width="7" style="60" customWidth="1"/>
    <col min="11275" max="11275" width="4.28515625" style="60" customWidth="1"/>
    <col min="11276" max="11276" width="7.7109375" style="60" customWidth="1"/>
    <col min="11277" max="11493" width="9" style="60"/>
    <col min="11494" max="11494" width="1.42578125" style="60" customWidth="1"/>
    <col min="11495" max="11495" width="31.85546875" style="60" customWidth="1"/>
    <col min="11496" max="11496" width="8.28515625" style="60" customWidth="1"/>
    <col min="11497" max="11497" width="9.7109375" style="60" customWidth="1"/>
    <col min="11498" max="11498" width="8.28515625" style="60" customWidth="1"/>
    <col min="11499" max="11499" width="6.5703125" style="60" customWidth="1"/>
    <col min="11500" max="11500" width="14" style="60" customWidth="1"/>
    <col min="11501" max="11501" width="6.7109375" style="60" customWidth="1"/>
    <col min="11502" max="11502" width="8.85546875" style="60" customWidth="1"/>
    <col min="11503" max="11503" width="7.7109375" style="60" customWidth="1"/>
    <col min="11504" max="11504" width="7.28515625" style="60" customWidth="1"/>
    <col min="11505" max="11505" width="7.7109375" style="60" customWidth="1"/>
    <col min="11506" max="11506" width="8.28515625" style="60" customWidth="1"/>
    <col min="11507" max="11508" width="6.7109375" style="60" customWidth="1"/>
    <col min="11509" max="11509" width="8.85546875" style="60" customWidth="1"/>
    <col min="11510" max="11511" width="7.5703125" style="60" customWidth="1"/>
    <col min="11512" max="11512" width="7.7109375" style="60" customWidth="1"/>
    <col min="11513" max="11514" width="8.28515625" style="60" customWidth="1"/>
    <col min="11515" max="11515" width="6.28515625" style="60" customWidth="1"/>
    <col min="11516" max="11517" width="8.7109375" style="60" customWidth="1"/>
    <col min="11518" max="11518" width="9.5703125" style="60" customWidth="1"/>
    <col min="11519" max="11519" width="8.7109375" style="60" customWidth="1"/>
    <col min="11520" max="11520" width="14.5703125" style="60" customWidth="1"/>
    <col min="11521" max="11521" width="8.7109375" style="60" customWidth="1"/>
    <col min="11522" max="11522" width="10.42578125" style="60" customWidth="1"/>
    <col min="11523" max="11525" width="8.7109375" style="60" customWidth="1"/>
    <col min="11526" max="11526" width="9" style="60"/>
    <col min="11527" max="11528" width="8.7109375" style="60" customWidth="1"/>
    <col min="11529" max="11529" width="4.28515625" style="60" customWidth="1"/>
    <col min="11530" max="11530" width="7" style="60" customWidth="1"/>
    <col min="11531" max="11531" width="4.28515625" style="60" customWidth="1"/>
    <col min="11532" max="11532" width="7.7109375" style="60" customWidth="1"/>
    <col min="11533" max="11749" width="9" style="60"/>
    <col min="11750" max="11750" width="1.42578125" style="60" customWidth="1"/>
    <col min="11751" max="11751" width="31.85546875" style="60" customWidth="1"/>
    <col min="11752" max="11752" width="8.28515625" style="60" customWidth="1"/>
    <col min="11753" max="11753" width="9.7109375" style="60" customWidth="1"/>
    <col min="11754" max="11754" width="8.28515625" style="60" customWidth="1"/>
    <col min="11755" max="11755" width="6.5703125" style="60" customWidth="1"/>
    <col min="11756" max="11756" width="14" style="60" customWidth="1"/>
    <col min="11757" max="11757" width="6.7109375" style="60" customWidth="1"/>
    <col min="11758" max="11758" width="8.85546875" style="60" customWidth="1"/>
    <col min="11759" max="11759" width="7.7109375" style="60" customWidth="1"/>
    <col min="11760" max="11760" width="7.28515625" style="60" customWidth="1"/>
    <col min="11761" max="11761" width="7.7109375" style="60" customWidth="1"/>
    <col min="11762" max="11762" width="8.28515625" style="60" customWidth="1"/>
    <col min="11763" max="11764" width="6.7109375" style="60" customWidth="1"/>
    <col min="11765" max="11765" width="8.85546875" style="60" customWidth="1"/>
    <col min="11766" max="11767" width="7.5703125" style="60" customWidth="1"/>
    <col min="11768" max="11768" width="7.7109375" style="60" customWidth="1"/>
    <col min="11769" max="11770" width="8.28515625" style="60" customWidth="1"/>
    <col min="11771" max="11771" width="6.28515625" style="60" customWidth="1"/>
    <col min="11772" max="11773" width="8.7109375" style="60" customWidth="1"/>
    <col min="11774" max="11774" width="9.5703125" style="60" customWidth="1"/>
    <col min="11775" max="11775" width="8.7109375" style="60" customWidth="1"/>
    <col min="11776" max="11776" width="14.5703125" style="60" customWidth="1"/>
    <col min="11777" max="11777" width="8.7109375" style="60" customWidth="1"/>
    <col min="11778" max="11778" width="10.42578125" style="60" customWidth="1"/>
    <col min="11779" max="11781" width="8.7109375" style="60" customWidth="1"/>
    <col min="11782" max="11782" width="9" style="60"/>
    <col min="11783" max="11784" width="8.7109375" style="60" customWidth="1"/>
    <col min="11785" max="11785" width="4.28515625" style="60" customWidth="1"/>
    <col min="11786" max="11786" width="7" style="60" customWidth="1"/>
    <col min="11787" max="11787" width="4.28515625" style="60" customWidth="1"/>
    <col min="11788" max="11788" width="7.7109375" style="60" customWidth="1"/>
    <col min="11789" max="12005" width="9" style="60"/>
    <col min="12006" max="12006" width="1.42578125" style="60" customWidth="1"/>
    <col min="12007" max="12007" width="31.85546875" style="60" customWidth="1"/>
    <col min="12008" max="12008" width="8.28515625" style="60" customWidth="1"/>
    <col min="12009" max="12009" width="9.7109375" style="60" customWidth="1"/>
    <col min="12010" max="12010" width="8.28515625" style="60" customWidth="1"/>
    <col min="12011" max="12011" width="6.5703125" style="60" customWidth="1"/>
    <col min="12012" max="12012" width="14" style="60" customWidth="1"/>
    <col min="12013" max="12013" width="6.7109375" style="60" customWidth="1"/>
    <col min="12014" max="12014" width="8.85546875" style="60" customWidth="1"/>
    <col min="12015" max="12015" width="7.7109375" style="60" customWidth="1"/>
    <col min="12016" max="12016" width="7.28515625" style="60" customWidth="1"/>
    <col min="12017" max="12017" width="7.7109375" style="60" customWidth="1"/>
    <col min="12018" max="12018" width="8.28515625" style="60" customWidth="1"/>
    <col min="12019" max="12020" width="6.7109375" style="60" customWidth="1"/>
    <col min="12021" max="12021" width="8.85546875" style="60" customWidth="1"/>
    <col min="12022" max="12023" width="7.5703125" style="60" customWidth="1"/>
    <col min="12024" max="12024" width="7.7109375" style="60" customWidth="1"/>
    <col min="12025" max="12026" width="8.28515625" style="60" customWidth="1"/>
    <col min="12027" max="12027" width="6.28515625" style="60" customWidth="1"/>
    <col min="12028" max="12029" width="8.7109375" style="60" customWidth="1"/>
    <col min="12030" max="12030" width="9.5703125" style="60" customWidth="1"/>
    <col min="12031" max="12031" width="8.7109375" style="60" customWidth="1"/>
    <col min="12032" max="12032" width="14.5703125" style="60" customWidth="1"/>
    <col min="12033" max="12033" width="8.7109375" style="60" customWidth="1"/>
    <col min="12034" max="12034" width="10.42578125" style="60" customWidth="1"/>
    <col min="12035" max="12037" width="8.7109375" style="60" customWidth="1"/>
    <col min="12038" max="12038" width="9" style="60"/>
    <col min="12039" max="12040" width="8.7109375" style="60" customWidth="1"/>
    <col min="12041" max="12041" width="4.28515625" style="60" customWidth="1"/>
    <col min="12042" max="12042" width="7" style="60" customWidth="1"/>
    <col min="12043" max="12043" width="4.28515625" style="60" customWidth="1"/>
    <col min="12044" max="12044" width="7.7109375" style="60" customWidth="1"/>
    <col min="12045" max="12261" width="9" style="60"/>
    <col min="12262" max="12262" width="1.42578125" style="60" customWidth="1"/>
    <col min="12263" max="12263" width="31.85546875" style="60" customWidth="1"/>
    <col min="12264" max="12264" width="8.28515625" style="60" customWidth="1"/>
    <col min="12265" max="12265" width="9.7109375" style="60" customWidth="1"/>
    <col min="12266" max="12266" width="8.28515625" style="60" customWidth="1"/>
    <col min="12267" max="12267" width="6.5703125" style="60" customWidth="1"/>
    <col min="12268" max="12268" width="14" style="60" customWidth="1"/>
    <col min="12269" max="12269" width="6.7109375" style="60" customWidth="1"/>
    <col min="12270" max="12270" width="8.85546875" style="60" customWidth="1"/>
    <col min="12271" max="12271" width="7.7109375" style="60" customWidth="1"/>
    <col min="12272" max="12272" width="7.28515625" style="60" customWidth="1"/>
    <col min="12273" max="12273" width="7.7109375" style="60" customWidth="1"/>
    <col min="12274" max="12274" width="8.28515625" style="60" customWidth="1"/>
    <col min="12275" max="12276" width="6.7109375" style="60" customWidth="1"/>
    <col min="12277" max="12277" width="8.85546875" style="60" customWidth="1"/>
    <col min="12278" max="12279" width="7.5703125" style="60" customWidth="1"/>
    <col min="12280" max="12280" width="7.7109375" style="60" customWidth="1"/>
    <col min="12281" max="12282" width="8.28515625" style="60" customWidth="1"/>
    <col min="12283" max="12283" width="6.28515625" style="60" customWidth="1"/>
    <col min="12284" max="12285" width="8.7109375" style="60" customWidth="1"/>
    <col min="12286" max="12286" width="9.5703125" style="60" customWidth="1"/>
    <col min="12287" max="12287" width="8.7109375" style="60" customWidth="1"/>
    <col min="12288" max="12288" width="14.5703125" style="60" customWidth="1"/>
    <col min="12289" max="12289" width="8.7109375" style="60" customWidth="1"/>
    <col min="12290" max="12290" width="10.42578125" style="60" customWidth="1"/>
    <col min="12291" max="12293" width="8.7109375" style="60" customWidth="1"/>
    <col min="12294" max="12294" width="9" style="60"/>
    <col min="12295" max="12296" width="8.7109375" style="60" customWidth="1"/>
    <col min="12297" max="12297" width="4.28515625" style="60" customWidth="1"/>
    <col min="12298" max="12298" width="7" style="60" customWidth="1"/>
    <col min="12299" max="12299" width="4.28515625" style="60" customWidth="1"/>
    <col min="12300" max="12300" width="7.7109375" style="60" customWidth="1"/>
    <col min="12301" max="12517" width="9" style="60"/>
    <col min="12518" max="12518" width="1.42578125" style="60" customWidth="1"/>
    <col min="12519" max="12519" width="31.85546875" style="60" customWidth="1"/>
    <col min="12520" max="12520" width="8.28515625" style="60" customWidth="1"/>
    <col min="12521" max="12521" width="9.7109375" style="60" customWidth="1"/>
    <col min="12522" max="12522" width="8.28515625" style="60" customWidth="1"/>
    <col min="12523" max="12523" width="6.5703125" style="60" customWidth="1"/>
    <col min="12524" max="12524" width="14" style="60" customWidth="1"/>
    <col min="12525" max="12525" width="6.7109375" style="60" customWidth="1"/>
    <col min="12526" max="12526" width="8.85546875" style="60" customWidth="1"/>
    <col min="12527" max="12527" width="7.7109375" style="60" customWidth="1"/>
    <col min="12528" max="12528" width="7.28515625" style="60" customWidth="1"/>
    <col min="12529" max="12529" width="7.7109375" style="60" customWidth="1"/>
    <col min="12530" max="12530" width="8.28515625" style="60" customWidth="1"/>
    <col min="12531" max="12532" width="6.7109375" style="60" customWidth="1"/>
    <col min="12533" max="12533" width="8.85546875" style="60" customWidth="1"/>
    <col min="12534" max="12535" width="7.5703125" style="60" customWidth="1"/>
    <col min="12536" max="12536" width="7.7109375" style="60" customWidth="1"/>
    <col min="12537" max="12538" width="8.28515625" style="60" customWidth="1"/>
    <col min="12539" max="12539" width="6.28515625" style="60" customWidth="1"/>
    <col min="12540" max="12541" width="8.7109375" style="60" customWidth="1"/>
    <col min="12542" max="12542" width="9.5703125" style="60" customWidth="1"/>
    <col min="12543" max="12543" width="8.7109375" style="60" customWidth="1"/>
    <col min="12544" max="12544" width="14.5703125" style="60" customWidth="1"/>
    <col min="12545" max="12545" width="8.7109375" style="60" customWidth="1"/>
    <col min="12546" max="12546" width="10.42578125" style="60" customWidth="1"/>
    <col min="12547" max="12549" width="8.7109375" style="60" customWidth="1"/>
    <col min="12550" max="12550" width="9" style="60"/>
    <col min="12551" max="12552" width="8.7109375" style="60" customWidth="1"/>
    <col min="12553" max="12553" width="4.28515625" style="60" customWidth="1"/>
    <col min="12554" max="12554" width="7" style="60" customWidth="1"/>
    <col min="12555" max="12555" width="4.28515625" style="60" customWidth="1"/>
    <col min="12556" max="12556" width="7.7109375" style="60" customWidth="1"/>
    <col min="12557" max="12773" width="9" style="60"/>
    <col min="12774" max="12774" width="1.42578125" style="60" customWidth="1"/>
    <col min="12775" max="12775" width="31.85546875" style="60" customWidth="1"/>
    <col min="12776" max="12776" width="8.28515625" style="60" customWidth="1"/>
    <col min="12777" max="12777" width="9.7109375" style="60" customWidth="1"/>
    <col min="12778" max="12778" width="8.28515625" style="60" customWidth="1"/>
    <col min="12779" max="12779" width="6.5703125" style="60" customWidth="1"/>
    <col min="12780" max="12780" width="14" style="60" customWidth="1"/>
    <col min="12781" max="12781" width="6.7109375" style="60" customWidth="1"/>
    <col min="12782" max="12782" width="8.85546875" style="60" customWidth="1"/>
    <col min="12783" max="12783" width="7.7109375" style="60" customWidth="1"/>
    <col min="12784" max="12784" width="7.28515625" style="60" customWidth="1"/>
    <col min="12785" max="12785" width="7.7109375" style="60" customWidth="1"/>
    <col min="12786" max="12786" width="8.28515625" style="60" customWidth="1"/>
    <col min="12787" max="12788" width="6.7109375" style="60" customWidth="1"/>
    <col min="12789" max="12789" width="8.85546875" style="60" customWidth="1"/>
    <col min="12790" max="12791" width="7.5703125" style="60" customWidth="1"/>
    <col min="12792" max="12792" width="7.7109375" style="60" customWidth="1"/>
    <col min="12793" max="12794" width="8.28515625" style="60" customWidth="1"/>
    <col min="12795" max="12795" width="6.28515625" style="60" customWidth="1"/>
    <col min="12796" max="12797" width="8.7109375" style="60" customWidth="1"/>
    <col min="12798" max="12798" width="9.5703125" style="60" customWidth="1"/>
    <col min="12799" max="12799" width="8.7109375" style="60" customWidth="1"/>
    <col min="12800" max="12800" width="14.5703125" style="60" customWidth="1"/>
    <col min="12801" max="12801" width="8.7109375" style="60" customWidth="1"/>
    <col min="12802" max="12802" width="10.42578125" style="60" customWidth="1"/>
    <col min="12803" max="12805" width="8.7109375" style="60" customWidth="1"/>
    <col min="12806" max="12806" width="9" style="60"/>
    <col min="12807" max="12808" width="8.7109375" style="60" customWidth="1"/>
    <col min="12809" max="12809" width="4.28515625" style="60" customWidth="1"/>
    <col min="12810" max="12810" width="7" style="60" customWidth="1"/>
    <col min="12811" max="12811" width="4.28515625" style="60" customWidth="1"/>
    <col min="12812" max="12812" width="7.7109375" style="60" customWidth="1"/>
    <col min="12813" max="13029" width="9" style="60"/>
    <col min="13030" max="13030" width="1.42578125" style="60" customWidth="1"/>
    <col min="13031" max="13031" width="31.85546875" style="60" customWidth="1"/>
    <col min="13032" max="13032" width="8.28515625" style="60" customWidth="1"/>
    <col min="13033" max="13033" width="9.7109375" style="60" customWidth="1"/>
    <col min="13034" max="13034" width="8.28515625" style="60" customWidth="1"/>
    <col min="13035" max="13035" width="6.5703125" style="60" customWidth="1"/>
    <col min="13036" max="13036" width="14" style="60" customWidth="1"/>
    <col min="13037" max="13037" width="6.7109375" style="60" customWidth="1"/>
    <col min="13038" max="13038" width="8.85546875" style="60" customWidth="1"/>
    <col min="13039" max="13039" width="7.7109375" style="60" customWidth="1"/>
    <col min="13040" max="13040" width="7.28515625" style="60" customWidth="1"/>
    <col min="13041" max="13041" width="7.7109375" style="60" customWidth="1"/>
    <col min="13042" max="13042" width="8.28515625" style="60" customWidth="1"/>
    <col min="13043" max="13044" width="6.7109375" style="60" customWidth="1"/>
    <col min="13045" max="13045" width="8.85546875" style="60" customWidth="1"/>
    <col min="13046" max="13047" width="7.5703125" style="60" customWidth="1"/>
    <col min="13048" max="13048" width="7.7109375" style="60" customWidth="1"/>
    <col min="13049" max="13050" width="8.28515625" style="60" customWidth="1"/>
    <col min="13051" max="13051" width="6.28515625" style="60" customWidth="1"/>
    <col min="13052" max="13053" width="8.7109375" style="60" customWidth="1"/>
    <col min="13054" max="13054" width="9.5703125" style="60" customWidth="1"/>
    <col min="13055" max="13055" width="8.7109375" style="60" customWidth="1"/>
    <col min="13056" max="13056" width="14.5703125" style="60" customWidth="1"/>
    <col min="13057" max="13057" width="8.7109375" style="60" customWidth="1"/>
    <col min="13058" max="13058" width="10.42578125" style="60" customWidth="1"/>
    <col min="13059" max="13061" width="8.7109375" style="60" customWidth="1"/>
    <col min="13062" max="13062" width="9" style="60"/>
    <col min="13063" max="13064" width="8.7109375" style="60" customWidth="1"/>
    <col min="13065" max="13065" width="4.28515625" style="60" customWidth="1"/>
    <col min="13066" max="13066" width="7" style="60" customWidth="1"/>
    <col min="13067" max="13067" width="4.28515625" style="60" customWidth="1"/>
    <col min="13068" max="13068" width="7.7109375" style="60" customWidth="1"/>
    <col min="13069" max="13285" width="9" style="60"/>
    <col min="13286" max="13286" width="1.42578125" style="60" customWidth="1"/>
    <col min="13287" max="13287" width="31.85546875" style="60" customWidth="1"/>
    <col min="13288" max="13288" width="8.28515625" style="60" customWidth="1"/>
    <col min="13289" max="13289" width="9.7109375" style="60" customWidth="1"/>
    <col min="13290" max="13290" width="8.28515625" style="60" customWidth="1"/>
    <col min="13291" max="13291" width="6.5703125" style="60" customWidth="1"/>
    <col min="13292" max="13292" width="14" style="60" customWidth="1"/>
    <col min="13293" max="13293" width="6.7109375" style="60" customWidth="1"/>
    <col min="13294" max="13294" width="8.85546875" style="60" customWidth="1"/>
    <col min="13295" max="13295" width="7.7109375" style="60" customWidth="1"/>
    <col min="13296" max="13296" width="7.28515625" style="60" customWidth="1"/>
    <col min="13297" max="13297" width="7.7109375" style="60" customWidth="1"/>
    <col min="13298" max="13298" width="8.28515625" style="60" customWidth="1"/>
    <col min="13299" max="13300" width="6.7109375" style="60" customWidth="1"/>
    <col min="13301" max="13301" width="8.85546875" style="60" customWidth="1"/>
    <col min="13302" max="13303" width="7.5703125" style="60" customWidth="1"/>
    <col min="13304" max="13304" width="7.7109375" style="60" customWidth="1"/>
    <col min="13305" max="13306" width="8.28515625" style="60" customWidth="1"/>
    <col min="13307" max="13307" width="6.28515625" style="60" customWidth="1"/>
    <col min="13308" max="13309" width="8.7109375" style="60" customWidth="1"/>
    <col min="13310" max="13310" width="9.5703125" style="60" customWidth="1"/>
    <col min="13311" max="13311" width="8.7109375" style="60" customWidth="1"/>
    <col min="13312" max="13312" width="14.5703125" style="60" customWidth="1"/>
    <col min="13313" max="13313" width="8.7109375" style="60" customWidth="1"/>
    <col min="13314" max="13314" width="10.42578125" style="60" customWidth="1"/>
    <col min="13315" max="13317" width="8.7109375" style="60" customWidth="1"/>
    <col min="13318" max="13318" width="9" style="60"/>
    <col min="13319" max="13320" width="8.7109375" style="60" customWidth="1"/>
    <col min="13321" max="13321" width="4.28515625" style="60" customWidth="1"/>
    <col min="13322" max="13322" width="7" style="60" customWidth="1"/>
    <col min="13323" max="13323" width="4.28515625" style="60" customWidth="1"/>
    <col min="13324" max="13324" width="7.7109375" style="60" customWidth="1"/>
    <col min="13325" max="13541" width="9" style="60"/>
    <col min="13542" max="13542" width="1.42578125" style="60" customWidth="1"/>
    <col min="13543" max="13543" width="31.85546875" style="60" customWidth="1"/>
    <col min="13544" max="13544" width="8.28515625" style="60" customWidth="1"/>
    <col min="13545" max="13545" width="9.7109375" style="60" customWidth="1"/>
    <col min="13546" max="13546" width="8.28515625" style="60" customWidth="1"/>
    <col min="13547" max="13547" width="6.5703125" style="60" customWidth="1"/>
    <col min="13548" max="13548" width="14" style="60" customWidth="1"/>
    <col min="13549" max="13549" width="6.7109375" style="60" customWidth="1"/>
    <col min="13550" max="13550" width="8.85546875" style="60" customWidth="1"/>
    <col min="13551" max="13551" width="7.7109375" style="60" customWidth="1"/>
    <col min="13552" max="13552" width="7.28515625" style="60" customWidth="1"/>
    <col min="13553" max="13553" width="7.7109375" style="60" customWidth="1"/>
    <col min="13554" max="13554" width="8.28515625" style="60" customWidth="1"/>
    <col min="13555" max="13556" width="6.7109375" style="60" customWidth="1"/>
    <col min="13557" max="13557" width="8.85546875" style="60" customWidth="1"/>
    <col min="13558" max="13559" width="7.5703125" style="60" customWidth="1"/>
    <col min="13560" max="13560" width="7.7109375" style="60" customWidth="1"/>
    <col min="13561" max="13562" width="8.28515625" style="60" customWidth="1"/>
    <col min="13563" max="13563" width="6.28515625" style="60" customWidth="1"/>
    <col min="13564" max="13565" width="8.7109375" style="60" customWidth="1"/>
    <col min="13566" max="13566" width="9.5703125" style="60" customWidth="1"/>
    <col min="13567" max="13567" width="8.7109375" style="60" customWidth="1"/>
    <col min="13568" max="13568" width="14.5703125" style="60" customWidth="1"/>
    <col min="13569" max="13569" width="8.7109375" style="60" customWidth="1"/>
    <col min="13570" max="13570" width="10.42578125" style="60" customWidth="1"/>
    <col min="13571" max="13573" width="8.7109375" style="60" customWidth="1"/>
    <col min="13574" max="13574" width="9" style="60"/>
    <col min="13575" max="13576" width="8.7109375" style="60" customWidth="1"/>
    <col min="13577" max="13577" width="4.28515625" style="60" customWidth="1"/>
    <col min="13578" max="13578" width="7" style="60" customWidth="1"/>
    <col min="13579" max="13579" width="4.28515625" style="60" customWidth="1"/>
    <col min="13580" max="13580" width="7.7109375" style="60" customWidth="1"/>
    <col min="13581" max="13797" width="9" style="60"/>
    <col min="13798" max="13798" width="1.42578125" style="60" customWidth="1"/>
    <col min="13799" max="13799" width="31.85546875" style="60" customWidth="1"/>
    <col min="13800" max="13800" width="8.28515625" style="60" customWidth="1"/>
    <col min="13801" max="13801" width="9.7109375" style="60" customWidth="1"/>
    <col min="13802" max="13802" width="8.28515625" style="60" customWidth="1"/>
    <col min="13803" max="13803" width="6.5703125" style="60" customWidth="1"/>
    <col min="13804" max="13804" width="14" style="60" customWidth="1"/>
    <col min="13805" max="13805" width="6.7109375" style="60" customWidth="1"/>
    <col min="13806" max="13806" width="8.85546875" style="60" customWidth="1"/>
    <col min="13807" max="13807" width="7.7109375" style="60" customWidth="1"/>
    <col min="13808" max="13808" width="7.28515625" style="60" customWidth="1"/>
    <col min="13809" max="13809" width="7.7109375" style="60" customWidth="1"/>
    <col min="13810" max="13810" width="8.28515625" style="60" customWidth="1"/>
    <col min="13811" max="13812" width="6.7109375" style="60" customWidth="1"/>
    <col min="13813" max="13813" width="8.85546875" style="60" customWidth="1"/>
    <col min="13814" max="13815" width="7.5703125" style="60" customWidth="1"/>
    <col min="13816" max="13816" width="7.7109375" style="60" customWidth="1"/>
    <col min="13817" max="13818" width="8.28515625" style="60" customWidth="1"/>
    <col min="13819" max="13819" width="6.28515625" style="60" customWidth="1"/>
    <col min="13820" max="13821" width="8.7109375" style="60" customWidth="1"/>
    <col min="13822" max="13822" width="9.5703125" style="60" customWidth="1"/>
    <col min="13823" max="13823" width="8.7109375" style="60" customWidth="1"/>
    <col min="13824" max="13824" width="14.5703125" style="60" customWidth="1"/>
    <col min="13825" max="13825" width="8.7109375" style="60" customWidth="1"/>
    <col min="13826" max="13826" width="10.42578125" style="60" customWidth="1"/>
    <col min="13827" max="13829" width="8.7109375" style="60" customWidth="1"/>
    <col min="13830" max="13830" width="9" style="60"/>
    <col min="13831" max="13832" width="8.7109375" style="60" customWidth="1"/>
    <col min="13833" max="13833" width="4.28515625" style="60" customWidth="1"/>
    <col min="13834" max="13834" width="7" style="60" customWidth="1"/>
    <col min="13835" max="13835" width="4.28515625" style="60" customWidth="1"/>
    <col min="13836" max="13836" width="7.7109375" style="60" customWidth="1"/>
    <col min="13837" max="14053" width="9" style="60"/>
    <col min="14054" max="14054" width="1.42578125" style="60" customWidth="1"/>
    <col min="14055" max="14055" width="31.85546875" style="60" customWidth="1"/>
    <col min="14056" max="14056" width="8.28515625" style="60" customWidth="1"/>
    <col min="14057" max="14057" width="9.7109375" style="60" customWidth="1"/>
    <col min="14058" max="14058" width="8.28515625" style="60" customWidth="1"/>
    <col min="14059" max="14059" width="6.5703125" style="60" customWidth="1"/>
    <col min="14060" max="14060" width="14" style="60" customWidth="1"/>
    <col min="14061" max="14061" width="6.7109375" style="60" customWidth="1"/>
    <col min="14062" max="14062" width="8.85546875" style="60" customWidth="1"/>
    <col min="14063" max="14063" width="7.7109375" style="60" customWidth="1"/>
    <col min="14064" max="14064" width="7.28515625" style="60" customWidth="1"/>
    <col min="14065" max="14065" width="7.7109375" style="60" customWidth="1"/>
    <col min="14066" max="14066" width="8.28515625" style="60" customWidth="1"/>
    <col min="14067" max="14068" width="6.7109375" style="60" customWidth="1"/>
    <col min="14069" max="14069" width="8.85546875" style="60" customWidth="1"/>
    <col min="14070" max="14071" width="7.5703125" style="60" customWidth="1"/>
    <col min="14072" max="14072" width="7.7109375" style="60" customWidth="1"/>
    <col min="14073" max="14074" width="8.28515625" style="60" customWidth="1"/>
    <col min="14075" max="14075" width="6.28515625" style="60" customWidth="1"/>
    <col min="14076" max="14077" width="8.7109375" style="60" customWidth="1"/>
    <col min="14078" max="14078" width="9.5703125" style="60" customWidth="1"/>
    <col min="14079" max="14079" width="8.7109375" style="60" customWidth="1"/>
    <col min="14080" max="14080" width="14.5703125" style="60" customWidth="1"/>
    <col min="14081" max="14081" width="8.7109375" style="60" customWidth="1"/>
    <col min="14082" max="14082" width="10.42578125" style="60" customWidth="1"/>
    <col min="14083" max="14085" width="8.7109375" style="60" customWidth="1"/>
    <col min="14086" max="14086" width="9" style="60"/>
    <col min="14087" max="14088" width="8.7109375" style="60" customWidth="1"/>
    <col min="14089" max="14089" width="4.28515625" style="60" customWidth="1"/>
    <col min="14090" max="14090" width="7" style="60" customWidth="1"/>
    <col min="14091" max="14091" width="4.28515625" style="60" customWidth="1"/>
    <col min="14092" max="14092" width="7.7109375" style="60" customWidth="1"/>
    <col min="14093" max="14309" width="9" style="60"/>
    <col min="14310" max="14310" width="1.42578125" style="60" customWidth="1"/>
    <col min="14311" max="14311" width="31.85546875" style="60" customWidth="1"/>
    <col min="14312" max="14312" width="8.28515625" style="60" customWidth="1"/>
    <col min="14313" max="14313" width="9.7109375" style="60" customWidth="1"/>
    <col min="14314" max="14314" width="8.28515625" style="60" customWidth="1"/>
    <col min="14315" max="14315" width="6.5703125" style="60" customWidth="1"/>
    <col min="14316" max="14316" width="14" style="60" customWidth="1"/>
    <col min="14317" max="14317" width="6.7109375" style="60" customWidth="1"/>
    <col min="14318" max="14318" width="8.85546875" style="60" customWidth="1"/>
    <col min="14319" max="14319" width="7.7109375" style="60" customWidth="1"/>
    <col min="14320" max="14320" width="7.28515625" style="60" customWidth="1"/>
    <col min="14321" max="14321" width="7.7109375" style="60" customWidth="1"/>
    <col min="14322" max="14322" width="8.28515625" style="60" customWidth="1"/>
    <col min="14323" max="14324" width="6.7109375" style="60" customWidth="1"/>
    <col min="14325" max="14325" width="8.85546875" style="60" customWidth="1"/>
    <col min="14326" max="14327" width="7.5703125" style="60" customWidth="1"/>
    <col min="14328" max="14328" width="7.7109375" style="60" customWidth="1"/>
    <col min="14329" max="14330" width="8.28515625" style="60" customWidth="1"/>
    <col min="14331" max="14331" width="6.28515625" style="60" customWidth="1"/>
    <col min="14332" max="14333" width="8.7109375" style="60" customWidth="1"/>
    <col min="14334" max="14334" width="9.5703125" style="60" customWidth="1"/>
    <col min="14335" max="14335" width="8.7109375" style="60" customWidth="1"/>
    <col min="14336" max="14336" width="14.5703125" style="60" customWidth="1"/>
    <col min="14337" max="14337" width="8.7109375" style="60" customWidth="1"/>
    <col min="14338" max="14338" width="10.42578125" style="60" customWidth="1"/>
    <col min="14339" max="14341" width="8.7109375" style="60" customWidth="1"/>
    <col min="14342" max="14342" width="9" style="60"/>
    <col min="14343" max="14344" width="8.7109375" style="60" customWidth="1"/>
    <col min="14345" max="14345" width="4.28515625" style="60" customWidth="1"/>
    <col min="14346" max="14346" width="7" style="60" customWidth="1"/>
    <col min="14347" max="14347" width="4.28515625" style="60" customWidth="1"/>
    <col min="14348" max="14348" width="7.7109375" style="60" customWidth="1"/>
    <col min="14349" max="14565" width="9" style="60"/>
    <col min="14566" max="14566" width="1.42578125" style="60" customWidth="1"/>
    <col min="14567" max="14567" width="31.85546875" style="60" customWidth="1"/>
    <col min="14568" max="14568" width="8.28515625" style="60" customWidth="1"/>
    <col min="14569" max="14569" width="9.7109375" style="60" customWidth="1"/>
    <col min="14570" max="14570" width="8.28515625" style="60" customWidth="1"/>
    <col min="14571" max="14571" width="6.5703125" style="60" customWidth="1"/>
    <col min="14572" max="14572" width="14" style="60" customWidth="1"/>
    <col min="14573" max="14573" width="6.7109375" style="60" customWidth="1"/>
    <col min="14574" max="14574" width="8.85546875" style="60" customWidth="1"/>
    <col min="14575" max="14575" width="7.7109375" style="60" customWidth="1"/>
    <col min="14576" max="14576" width="7.28515625" style="60" customWidth="1"/>
    <col min="14577" max="14577" width="7.7109375" style="60" customWidth="1"/>
    <col min="14578" max="14578" width="8.28515625" style="60" customWidth="1"/>
    <col min="14579" max="14580" width="6.7109375" style="60" customWidth="1"/>
    <col min="14581" max="14581" width="8.85546875" style="60" customWidth="1"/>
    <col min="14582" max="14583" width="7.5703125" style="60" customWidth="1"/>
    <col min="14584" max="14584" width="7.7109375" style="60" customWidth="1"/>
    <col min="14585" max="14586" width="8.28515625" style="60" customWidth="1"/>
    <col min="14587" max="14587" width="6.28515625" style="60" customWidth="1"/>
    <col min="14588" max="14589" width="8.7109375" style="60" customWidth="1"/>
    <col min="14590" max="14590" width="9.5703125" style="60" customWidth="1"/>
    <col min="14591" max="14591" width="8.7109375" style="60" customWidth="1"/>
    <col min="14592" max="14592" width="14.5703125" style="60" customWidth="1"/>
    <col min="14593" max="14593" width="8.7109375" style="60" customWidth="1"/>
    <col min="14594" max="14594" width="10.42578125" style="60" customWidth="1"/>
    <col min="14595" max="14597" width="8.7109375" style="60" customWidth="1"/>
    <col min="14598" max="14598" width="9" style="60"/>
    <col min="14599" max="14600" width="8.7109375" style="60" customWidth="1"/>
    <col min="14601" max="14601" width="4.28515625" style="60" customWidth="1"/>
    <col min="14602" max="14602" width="7" style="60" customWidth="1"/>
    <col min="14603" max="14603" width="4.28515625" style="60" customWidth="1"/>
    <col min="14604" max="14604" width="7.7109375" style="60" customWidth="1"/>
    <col min="14605" max="14821" width="9" style="60"/>
    <col min="14822" max="14822" width="1.42578125" style="60" customWidth="1"/>
    <col min="14823" max="14823" width="31.85546875" style="60" customWidth="1"/>
    <col min="14824" max="14824" width="8.28515625" style="60" customWidth="1"/>
    <col min="14825" max="14825" width="9.7109375" style="60" customWidth="1"/>
    <col min="14826" max="14826" width="8.28515625" style="60" customWidth="1"/>
    <col min="14827" max="14827" width="6.5703125" style="60" customWidth="1"/>
    <col min="14828" max="14828" width="14" style="60" customWidth="1"/>
    <col min="14829" max="14829" width="6.7109375" style="60" customWidth="1"/>
    <col min="14830" max="14830" width="8.85546875" style="60" customWidth="1"/>
    <col min="14831" max="14831" width="7.7109375" style="60" customWidth="1"/>
    <col min="14832" max="14832" width="7.28515625" style="60" customWidth="1"/>
    <col min="14833" max="14833" width="7.7109375" style="60" customWidth="1"/>
    <col min="14834" max="14834" width="8.28515625" style="60" customWidth="1"/>
    <col min="14835" max="14836" width="6.7109375" style="60" customWidth="1"/>
    <col min="14837" max="14837" width="8.85546875" style="60" customWidth="1"/>
    <col min="14838" max="14839" width="7.5703125" style="60" customWidth="1"/>
    <col min="14840" max="14840" width="7.7109375" style="60" customWidth="1"/>
    <col min="14841" max="14842" width="8.28515625" style="60" customWidth="1"/>
    <col min="14843" max="14843" width="6.28515625" style="60" customWidth="1"/>
    <col min="14844" max="14845" width="8.7109375" style="60" customWidth="1"/>
    <col min="14846" max="14846" width="9.5703125" style="60" customWidth="1"/>
    <col min="14847" max="14847" width="8.7109375" style="60" customWidth="1"/>
    <col min="14848" max="14848" width="14.5703125" style="60" customWidth="1"/>
    <col min="14849" max="14849" width="8.7109375" style="60" customWidth="1"/>
    <col min="14850" max="14850" width="10.42578125" style="60" customWidth="1"/>
    <col min="14851" max="14853" width="8.7109375" style="60" customWidth="1"/>
    <col min="14854" max="14854" width="9" style="60"/>
    <col min="14855" max="14856" width="8.7109375" style="60" customWidth="1"/>
    <col min="14857" max="14857" width="4.28515625" style="60" customWidth="1"/>
    <col min="14858" max="14858" width="7" style="60" customWidth="1"/>
    <col min="14859" max="14859" width="4.28515625" style="60" customWidth="1"/>
    <col min="14860" max="14860" width="7.7109375" style="60" customWidth="1"/>
    <col min="14861" max="15077" width="9" style="60"/>
    <col min="15078" max="15078" width="1.42578125" style="60" customWidth="1"/>
    <col min="15079" max="15079" width="31.85546875" style="60" customWidth="1"/>
    <col min="15080" max="15080" width="8.28515625" style="60" customWidth="1"/>
    <col min="15081" max="15081" width="9.7109375" style="60" customWidth="1"/>
    <col min="15082" max="15082" width="8.28515625" style="60" customWidth="1"/>
    <col min="15083" max="15083" width="6.5703125" style="60" customWidth="1"/>
    <col min="15084" max="15084" width="14" style="60" customWidth="1"/>
    <col min="15085" max="15085" width="6.7109375" style="60" customWidth="1"/>
    <col min="15086" max="15086" width="8.85546875" style="60" customWidth="1"/>
    <col min="15087" max="15087" width="7.7109375" style="60" customWidth="1"/>
    <col min="15088" max="15088" width="7.28515625" style="60" customWidth="1"/>
    <col min="15089" max="15089" width="7.7109375" style="60" customWidth="1"/>
    <col min="15090" max="15090" width="8.28515625" style="60" customWidth="1"/>
    <col min="15091" max="15092" width="6.7109375" style="60" customWidth="1"/>
    <col min="15093" max="15093" width="8.85546875" style="60" customWidth="1"/>
    <col min="15094" max="15095" width="7.5703125" style="60" customWidth="1"/>
    <col min="15096" max="15096" width="7.7109375" style="60" customWidth="1"/>
    <col min="15097" max="15098" width="8.28515625" style="60" customWidth="1"/>
    <col min="15099" max="15099" width="6.28515625" style="60" customWidth="1"/>
    <col min="15100" max="15101" width="8.7109375" style="60" customWidth="1"/>
    <col min="15102" max="15102" width="9.5703125" style="60" customWidth="1"/>
    <col min="15103" max="15103" width="8.7109375" style="60" customWidth="1"/>
    <col min="15104" max="15104" width="14.5703125" style="60" customWidth="1"/>
    <col min="15105" max="15105" width="8.7109375" style="60" customWidth="1"/>
    <col min="15106" max="15106" width="10.42578125" style="60" customWidth="1"/>
    <col min="15107" max="15109" width="8.7109375" style="60" customWidth="1"/>
    <col min="15110" max="15110" width="9" style="60"/>
    <col min="15111" max="15112" width="8.7109375" style="60" customWidth="1"/>
    <col min="15113" max="15113" width="4.28515625" style="60" customWidth="1"/>
    <col min="15114" max="15114" width="7" style="60" customWidth="1"/>
    <col min="15115" max="15115" width="4.28515625" style="60" customWidth="1"/>
    <col min="15116" max="15116" width="7.7109375" style="60" customWidth="1"/>
    <col min="15117" max="15333" width="9" style="60"/>
    <col min="15334" max="15334" width="1.42578125" style="60" customWidth="1"/>
    <col min="15335" max="15335" width="31.85546875" style="60" customWidth="1"/>
    <col min="15336" max="15336" width="8.28515625" style="60" customWidth="1"/>
    <col min="15337" max="15337" width="9.7109375" style="60" customWidth="1"/>
    <col min="15338" max="15338" width="8.28515625" style="60" customWidth="1"/>
    <col min="15339" max="15339" width="6.5703125" style="60" customWidth="1"/>
    <col min="15340" max="15340" width="14" style="60" customWidth="1"/>
    <col min="15341" max="15341" width="6.7109375" style="60" customWidth="1"/>
    <col min="15342" max="15342" width="8.85546875" style="60" customWidth="1"/>
    <col min="15343" max="15343" width="7.7109375" style="60" customWidth="1"/>
    <col min="15344" max="15344" width="7.28515625" style="60" customWidth="1"/>
    <col min="15345" max="15345" width="7.7109375" style="60" customWidth="1"/>
    <col min="15346" max="15346" width="8.28515625" style="60" customWidth="1"/>
    <col min="15347" max="15348" width="6.7109375" style="60" customWidth="1"/>
    <col min="15349" max="15349" width="8.85546875" style="60" customWidth="1"/>
    <col min="15350" max="15351" width="7.5703125" style="60" customWidth="1"/>
    <col min="15352" max="15352" width="7.7109375" style="60" customWidth="1"/>
    <col min="15353" max="15354" width="8.28515625" style="60" customWidth="1"/>
    <col min="15355" max="15355" width="6.28515625" style="60" customWidth="1"/>
    <col min="15356" max="15357" width="8.7109375" style="60" customWidth="1"/>
    <col min="15358" max="15358" width="9.5703125" style="60" customWidth="1"/>
    <col min="15359" max="15359" width="8.7109375" style="60" customWidth="1"/>
    <col min="15360" max="15360" width="14.5703125" style="60" customWidth="1"/>
    <col min="15361" max="15361" width="8.7109375" style="60" customWidth="1"/>
    <col min="15362" max="15362" width="10.42578125" style="60" customWidth="1"/>
    <col min="15363" max="15365" width="8.7109375" style="60" customWidth="1"/>
    <col min="15366" max="15366" width="9" style="60"/>
    <col min="15367" max="15368" width="8.7109375" style="60" customWidth="1"/>
    <col min="15369" max="15369" width="4.28515625" style="60" customWidth="1"/>
    <col min="15370" max="15370" width="7" style="60" customWidth="1"/>
    <col min="15371" max="15371" width="4.28515625" style="60" customWidth="1"/>
    <col min="15372" max="15372" width="7.7109375" style="60" customWidth="1"/>
    <col min="15373" max="15589" width="9" style="60"/>
    <col min="15590" max="15590" width="1.42578125" style="60" customWidth="1"/>
    <col min="15591" max="15591" width="31.85546875" style="60" customWidth="1"/>
    <col min="15592" max="15592" width="8.28515625" style="60" customWidth="1"/>
    <col min="15593" max="15593" width="9.7109375" style="60" customWidth="1"/>
    <col min="15594" max="15594" width="8.28515625" style="60" customWidth="1"/>
    <col min="15595" max="15595" width="6.5703125" style="60" customWidth="1"/>
    <col min="15596" max="15596" width="14" style="60" customWidth="1"/>
    <col min="15597" max="15597" width="6.7109375" style="60" customWidth="1"/>
    <col min="15598" max="15598" width="8.85546875" style="60" customWidth="1"/>
    <col min="15599" max="15599" width="7.7109375" style="60" customWidth="1"/>
    <col min="15600" max="15600" width="7.28515625" style="60" customWidth="1"/>
    <col min="15601" max="15601" width="7.7109375" style="60" customWidth="1"/>
    <col min="15602" max="15602" width="8.28515625" style="60" customWidth="1"/>
    <col min="15603" max="15604" width="6.7109375" style="60" customWidth="1"/>
    <col min="15605" max="15605" width="8.85546875" style="60" customWidth="1"/>
    <col min="15606" max="15607" width="7.5703125" style="60" customWidth="1"/>
    <col min="15608" max="15608" width="7.7109375" style="60" customWidth="1"/>
    <col min="15609" max="15610" width="8.28515625" style="60" customWidth="1"/>
    <col min="15611" max="15611" width="6.28515625" style="60" customWidth="1"/>
    <col min="15612" max="15613" width="8.7109375" style="60" customWidth="1"/>
    <col min="15614" max="15614" width="9.5703125" style="60" customWidth="1"/>
    <col min="15615" max="15615" width="8.7109375" style="60" customWidth="1"/>
    <col min="15616" max="15616" width="14.5703125" style="60" customWidth="1"/>
    <col min="15617" max="15617" width="8.7109375" style="60" customWidth="1"/>
    <col min="15618" max="15618" width="10.42578125" style="60" customWidth="1"/>
    <col min="15619" max="15621" width="8.7109375" style="60" customWidth="1"/>
    <col min="15622" max="15622" width="9" style="60"/>
    <col min="15623" max="15624" width="8.7109375" style="60" customWidth="1"/>
    <col min="15625" max="15625" width="4.28515625" style="60" customWidth="1"/>
    <col min="15626" max="15626" width="7" style="60" customWidth="1"/>
    <col min="15627" max="15627" width="4.28515625" style="60" customWidth="1"/>
    <col min="15628" max="15628" width="7.7109375" style="60" customWidth="1"/>
    <col min="15629" max="15845" width="9" style="60"/>
    <col min="15846" max="15846" width="1.42578125" style="60" customWidth="1"/>
    <col min="15847" max="15847" width="31.85546875" style="60" customWidth="1"/>
    <col min="15848" max="15848" width="8.28515625" style="60" customWidth="1"/>
    <col min="15849" max="15849" width="9.7109375" style="60" customWidth="1"/>
    <col min="15850" max="15850" width="8.28515625" style="60" customWidth="1"/>
    <col min="15851" max="15851" width="6.5703125" style="60" customWidth="1"/>
    <col min="15852" max="15852" width="14" style="60" customWidth="1"/>
    <col min="15853" max="15853" width="6.7109375" style="60" customWidth="1"/>
    <col min="15854" max="15854" width="8.85546875" style="60" customWidth="1"/>
    <col min="15855" max="15855" width="7.7109375" style="60" customWidth="1"/>
    <col min="15856" max="15856" width="7.28515625" style="60" customWidth="1"/>
    <col min="15857" max="15857" width="7.7109375" style="60" customWidth="1"/>
    <col min="15858" max="15858" width="8.28515625" style="60" customWidth="1"/>
    <col min="15859" max="15860" width="6.7109375" style="60" customWidth="1"/>
    <col min="15861" max="15861" width="8.85546875" style="60" customWidth="1"/>
    <col min="15862" max="15863" width="7.5703125" style="60" customWidth="1"/>
    <col min="15864" max="15864" width="7.7109375" style="60" customWidth="1"/>
    <col min="15865" max="15866" width="8.28515625" style="60" customWidth="1"/>
    <col min="15867" max="15867" width="6.28515625" style="60" customWidth="1"/>
    <col min="15868" max="15869" width="8.7109375" style="60" customWidth="1"/>
    <col min="15870" max="15870" width="9.5703125" style="60" customWidth="1"/>
    <col min="15871" max="15871" width="8.7109375" style="60" customWidth="1"/>
    <col min="15872" max="15872" width="14.5703125" style="60" customWidth="1"/>
    <col min="15873" max="15873" width="8.7109375" style="60" customWidth="1"/>
    <col min="15874" max="15874" width="10.42578125" style="60" customWidth="1"/>
    <col min="15875" max="15877" width="8.7109375" style="60" customWidth="1"/>
    <col min="15878" max="15878" width="9" style="60"/>
    <col min="15879" max="15880" width="8.7109375" style="60" customWidth="1"/>
    <col min="15881" max="15881" width="4.28515625" style="60" customWidth="1"/>
    <col min="15882" max="15882" width="7" style="60" customWidth="1"/>
    <col min="15883" max="15883" width="4.28515625" style="60" customWidth="1"/>
    <col min="15884" max="15884" width="7.7109375" style="60" customWidth="1"/>
    <col min="15885" max="16101" width="9" style="60"/>
    <col min="16102" max="16102" width="1.42578125" style="60" customWidth="1"/>
    <col min="16103" max="16103" width="31.85546875" style="60" customWidth="1"/>
    <col min="16104" max="16104" width="8.28515625" style="60" customWidth="1"/>
    <col min="16105" max="16105" width="9.7109375" style="60" customWidth="1"/>
    <col min="16106" max="16106" width="8.28515625" style="60" customWidth="1"/>
    <col min="16107" max="16107" width="6.5703125" style="60" customWidth="1"/>
    <col min="16108" max="16108" width="14" style="60" customWidth="1"/>
    <col min="16109" max="16109" width="6.7109375" style="60" customWidth="1"/>
    <col min="16110" max="16110" width="8.85546875" style="60" customWidth="1"/>
    <col min="16111" max="16111" width="7.7109375" style="60" customWidth="1"/>
    <col min="16112" max="16112" width="7.28515625" style="60" customWidth="1"/>
    <col min="16113" max="16113" width="7.7109375" style="60" customWidth="1"/>
    <col min="16114" max="16114" width="8.28515625" style="60" customWidth="1"/>
    <col min="16115" max="16116" width="6.7109375" style="60" customWidth="1"/>
    <col min="16117" max="16117" width="8.85546875" style="60" customWidth="1"/>
    <col min="16118" max="16119" width="7.5703125" style="60" customWidth="1"/>
    <col min="16120" max="16120" width="7.7109375" style="60" customWidth="1"/>
    <col min="16121" max="16122" width="8.28515625" style="60" customWidth="1"/>
    <col min="16123" max="16123" width="6.28515625" style="60" customWidth="1"/>
    <col min="16124" max="16125" width="8.7109375" style="60" customWidth="1"/>
    <col min="16126" max="16126" width="9.5703125" style="60" customWidth="1"/>
    <col min="16127" max="16127" width="8.7109375" style="60" customWidth="1"/>
    <col min="16128" max="16128" width="14.5703125" style="60" customWidth="1"/>
    <col min="16129" max="16129" width="8.7109375" style="60" customWidth="1"/>
    <col min="16130" max="16130" width="10.42578125" style="60" customWidth="1"/>
    <col min="16131" max="16133" width="8.7109375" style="60" customWidth="1"/>
    <col min="16134" max="16134" width="9" style="60"/>
    <col min="16135" max="16136" width="8.7109375" style="60" customWidth="1"/>
    <col min="16137" max="16137" width="4.28515625" style="60" customWidth="1"/>
    <col min="16138" max="16138" width="7" style="60" customWidth="1"/>
    <col min="16139" max="16139" width="4.28515625" style="60" customWidth="1"/>
    <col min="16140" max="16140" width="7.7109375" style="60" customWidth="1"/>
    <col min="16141" max="16371" width="9" style="60"/>
    <col min="16372" max="16384" width="9.28515625" style="60" customWidth="1"/>
  </cols>
  <sheetData>
    <row r="1" spans="1:43" ht="14.1" customHeight="1" x14ac:dyDescent="0.25">
      <c r="C1" s="61"/>
      <c r="Q1" s="565"/>
      <c r="R1" s="654"/>
      <c r="S1" s="654"/>
      <c r="AQ1" s="60" t="s">
        <v>559</v>
      </c>
    </row>
    <row r="2" spans="1:43" ht="14.1" customHeight="1" x14ac:dyDescent="0.25">
      <c r="A2" s="655" t="s">
        <v>227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</row>
    <row r="3" spans="1:43" ht="14.1" customHeight="1" x14ac:dyDescent="0.25">
      <c r="A3" s="655" t="str">
        <f>Produksi!A3</f>
        <v>TAHUN 2025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</row>
    <row r="4" spans="1:43" ht="14.1" customHeight="1" x14ac:dyDescent="0.2">
      <c r="A4" s="328"/>
      <c r="B4" s="65"/>
      <c r="C4" s="66" t="s">
        <v>47</v>
      </c>
      <c r="D4" s="67"/>
      <c r="E4" s="67"/>
      <c r="F4" s="67"/>
      <c r="G4" s="656"/>
      <c r="H4" s="656"/>
      <c r="I4" s="656"/>
      <c r="J4" s="68"/>
      <c r="K4" s="67"/>
      <c r="L4" s="70"/>
      <c r="M4" s="71" t="s">
        <v>228</v>
      </c>
      <c r="N4" s="71"/>
      <c r="O4" s="68"/>
      <c r="P4" s="344"/>
      <c r="Q4" s="566">
        <f>Produksi!N4</f>
        <v>248105</v>
      </c>
      <c r="R4" s="262" t="s">
        <v>229</v>
      </c>
      <c r="S4" s="68"/>
    </row>
    <row r="5" spans="1:43" ht="14.1" customHeight="1" x14ac:dyDescent="0.2">
      <c r="A5" s="625" t="s">
        <v>48</v>
      </c>
      <c r="B5" s="625"/>
      <c r="C5" s="660"/>
      <c r="D5" s="661" t="s">
        <v>578</v>
      </c>
      <c r="E5" s="661"/>
      <c r="F5" s="661"/>
      <c r="G5" s="661"/>
      <c r="H5" s="661"/>
      <c r="I5" s="661" t="s">
        <v>232</v>
      </c>
      <c r="J5" s="661"/>
      <c r="K5" s="661"/>
      <c r="L5" s="661"/>
      <c r="M5" s="661"/>
      <c r="N5" s="661"/>
      <c r="O5" s="662" t="s">
        <v>233</v>
      </c>
      <c r="P5" s="651"/>
      <c r="Q5" s="651"/>
      <c r="R5" s="651"/>
      <c r="S5" s="651"/>
      <c r="T5" s="463"/>
      <c r="X5" s="361"/>
      <c r="Y5" s="361"/>
      <c r="Z5" s="361"/>
      <c r="AA5" s="361"/>
      <c r="AB5" s="361"/>
      <c r="AC5" s="362"/>
    </row>
    <row r="6" spans="1:43" ht="14.1" customHeight="1" x14ac:dyDescent="0.2">
      <c r="A6" s="660"/>
      <c r="B6" s="660"/>
      <c r="C6" s="660"/>
      <c r="D6" s="649" t="s">
        <v>221</v>
      </c>
      <c r="E6" s="657" t="s">
        <v>178</v>
      </c>
      <c r="F6" s="649" t="s">
        <v>236</v>
      </c>
      <c r="G6" s="649" t="s">
        <v>237</v>
      </c>
      <c r="H6" s="658" t="s">
        <v>238</v>
      </c>
      <c r="I6" s="649" t="s">
        <v>239</v>
      </c>
      <c r="J6" s="657" t="s">
        <v>563</v>
      </c>
      <c r="K6" s="256" t="s">
        <v>241</v>
      </c>
      <c r="L6" s="649" t="s">
        <v>242</v>
      </c>
      <c r="M6" s="653" t="s">
        <v>243</v>
      </c>
      <c r="N6" s="256" t="s">
        <v>244</v>
      </c>
      <c r="O6" s="650" t="s">
        <v>246</v>
      </c>
      <c r="P6" s="651"/>
      <c r="Q6" s="651"/>
      <c r="R6" s="651"/>
      <c r="S6" s="651"/>
      <c r="T6" s="463"/>
      <c r="AC6" s="337"/>
    </row>
    <row r="7" spans="1:43" ht="14.1" customHeight="1" x14ac:dyDescent="0.2">
      <c r="A7" s="660"/>
      <c r="B7" s="660"/>
      <c r="C7" s="660"/>
      <c r="D7" s="649"/>
      <c r="E7" s="657"/>
      <c r="F7" s="649"/>
      <c r="G7" s="649"/>
      <c r="H7" s="658"/>
      <c r="I7" s="649"/>
      <c r="J7" s="657"/>
      <c r="K7" s="256" t="s">
        <v>250</v>
      </c>
      <c r="L7" s="649"/>
      <c r="M7" s="653"/>
      <c r="N7" s="256" t="s">
        <v>250</v>
      </c>
      <c r="O7" s="659" t="s">
        <v>251</v>
      </c>
      <c r="P7" s="329" t="s">
        <v>252</v>
      </c>
      <c r="Q7" s="541" t="s">
        <v>253</v>
      </c>
      <c r="R7" s="329" t="s">
        <v>254</v>
      </c>
      <c r="S7" s="329" t="s">
        <v>255</v>
      </c>
      <c r="T7" s="463"/>
      <c r="AC7" s="337"/>
    </row>
    <row r="8" spans="1:43" ht="14.1" customHeight="1" x14ac:dyDescent="0.2">
      <c r="A8" s="621" t="s">
        <v>49</v>
      </c>
      <c r="B8" s="621"/>
      <c r="C8" s="621"/>
      <c r="D8" s="648" t="s">
        <v>248</v>
      </c>
      <c r="E8" s="283" t="s">
        <v>259</v>
      </c>
      <c r="F8" s="648" t="s">
        <v>260</v>
      </c>
      <c r="G8" s="648" t="s">
        <v>261</v>
      </c>
      <c r="H8" s="658"/>
      <c r="I8" s="648" t="s">
        <v>262</v>
      </c>
      <c r="J8" s="648" t="s">
        <v>263</v>
      </c>
      <c r="K8" s="652" t="s">
        <v>367</v>
      </c>
      <c r="L8" s="648" t="s">
        <v>265</v>
      </c>
      <c r="M8" s="652" t="s">
        <v>266</v>
      </c>
      <c r="N8" s="648" t="s">
        <v>267</v>
      </c>
      <c r="O8" s="659"/>
      <c r="P8" s="329" t="s">
        <v>268</v>
      </c>
      <c r="Q8" s="283" t="s">
        <v>269</v>
      </c>
      <c r="R8" s="330" t="s">
        <v>270</v>
      </c>
      <c r="S8" s="330" t="s">
        <v>271</v>
      </c>
      <c r="T8" s="463"/>
      <c r="AC8" s="337"/>
    </row>
    <row r="9" spans="1:43" ht="14.1" customHeight="1" x14ac:dyDescent="0.2">
      <c r="A9" s="621"/>
      <c r="B9" s="621"/>
      <c r="C9" s="621"/>
      <c r="D9" s="648"/>
      <c r="E9" s="283" t="s">
        <v>275</v>
      </c>
      <c r="F9" s="648"/>
      <c r="G9" s="648"/>
      <c r="H9" s="658"/>
      <c r="I9" s="648"/>
      <c r="J9" s="648"/>
      <c r="K9" s="652"/>
      <c r="L9" s="648"/>
      <c r="M9" s="652"/>
      <c r="N9" s="648"/>
      <c r="O9" s="647" t="s">
        <v>276</v>
      </c>
      <c r="P9" s="330" t="s">
        <v>277</v>
      </c>
      <c r="Q9" s="541" t="s">
        <v>278</v>
      </c>
      <c r="R9" s="329" t="s">
        <v>279</v>
      </c>
      <c r="S9" s="329" t="s">
        <v>279</v>
      </c>
      <c r="T9" s="645" t="s">
        <v>281</v>
      </c>
      <c r="U9" s="646"/>
      <c r="V9" s="646"/>
      <c r="W9" s="646"/>
      <c r="X9" s="348"/>
      <c r="Y9" s="348"/>
      <c r="Z9" s="348"/>
      <c r="AA9" s="348"/>
      <c r="AB9" s="348"/>
      <c r="AC9" s="373"/>
    </row>
    <row r="10" spans="1:43" ht="14.1" customHeight="1" x14ac:dyDescent="0.2">
      <c r="A10" s="293"/>
      <c r="B10" s="331"/>
      <c r="C10" s="331"/>
      <c r="D10" s="648"/>
      <c r="E10" s="283" t="s">
        <v>282</v>
      </c>
      <c r="F10" s="648"/>
      <c r="G10" s="648"/>
      <c r="H10" s="658"/>
      <c r="I10" s="648"/>
      <c r="J10" s="648"/>
      <c r="K10" s="652"/>
      <c r="L10" s="648"/>
      <c r="M10" s="652"/>
      <c r="N10" s="648"/>
      <c r="O10" s="647"/>
      <c r="P10" s="330" t="s">
        <v>284</v>
      </c>
      <c r="Q10" s="283" t="s">
        <v>285</v>
      </c>
      <c r="R10" s="330" t="s">
        <v>286</v>
      </c>
      <c r="S10" s="330" t="s">
        <v>286</v>
      </c>
      <c r="T10" s="464"/>
      <c r="U10" s="379"/>
      <c r="V10" s="379"/>
      <c r="W10" s="379"/>
      <c r="X10" s="338"/>
      <c r="Y10" s="338"/>
      <c r="Z10" s="338"/>
      <c r="AA10" s="338"/>
      <c r="AB10" s="338"/>
      <c r="AC10" s="339"/>
    </row>
    <row r="11" spans="1:43" ht="14.1" customHeight="1" x14ac:dyDescent="0.2">
      <c r="A11" s="643">
        <v>-1</v>
      </c>
      <c r="B11" s="643"/>
      <c r="C11" s="643"/>
      <c r="D11" s="316">
        <v>-2</v>
      </c>
      <c r="E11" s="316">
        <v>-3</v>
      </c>
      <c r="F11" s="316">
        <v>-4</v>
      </c>
      <c r="G11" s="316">
        <v>-5</v>
      </c>
      <c r="H11" s="316">
        <v>-6</v>
      </c>
      <c r="I11" s="316">
        <v>-7</v>
      </c>
      <c r="J11" s="316">
        <v>-8</v>
      </c>
      <c r="K11" s="316">
        <v>-9</v>
      </c>
      <c r="L11" s="316">
        <v>-10</v>
      </c>
      <c r="M11" s="316">
        <v>-11</v>
      </c>
      <c r="N11" s="316">
        <v>-12</v>
      </c>
      <c r="O11" s="316">
        <v>-13</v>
      </c>
      <c r="P11" s="316">
        <v>-14</v>
      </c>
      <c r="Q11" s="316">
        <v>-15</v>
      </c>
      <c r="R11" s="316">
        <v>-16</v>
      </c>
      <c r="S11" s="316">
        <v>-17</v>
      </c>
      <c r="T11" s="465" t="s">
        <v>287</v>
      </c>
      <c r="U11" s="380" t="s">
        <v>288</v>
      </c>
      <c r="V11" s="380" t="s">
        <v>289</v>
      </c>
      <c r="W11" s="380" t="s">
        <v>290</v>
      </c>
      <c r="X11" s="374" t="s">
        <v>291</v>
      </c>
      <c r="Y11" s="363" t="s">
        <v>292</v>
      </c>
      <c r="Z11" s="363" t="s">
        <v>293</v>
      </c>
      <c r="AA11" s="363" t="s">
        <v>294</v>
      </c>
      <c r="AB11" s="363" t="s">
        <v>295</v>
      </c>
      <c r="AC11" s="363" t="s">
        <v>296</v>
      </c>
      <c r="AD11" s="112"/>
      <c r="AE11" s="112"/>
    </row>
    <row r="12" spans="1:43" ht="14.1" customHeight="1" thickBot="1" x14ac:dyDescent="0.25">
      <c r="A12" s="286" t="s">
        <v>396</v>
      </c>
      <c r="B12" s="287"/>
      <c r="C12" s="28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332"/>
      <c r="P12" s="332"/>
      <c r="Q12" s="567">
        <f>SUM(Q13:Q16)</f>
        <v>905.92834762249072</v>
      </c>
      <c r="R12" s="340">
        <f t="shared" ref="R12:S12" si="0">SUM(R13:R16)</f>
        <v>21.562939505404316</v>
      </c>
      <c r="S12" s="340">
        <f t="shared" si="0"/>
        <v>5.0466765720898774</v>
      </c>
      <c r="T12" s="466"/>
      <c r="U12" s="381"/>
      <c r="V12" s="381"/>
      <c r="W12" s="382"/>
      <c r="X12" s="187"/>
      <c r="Y12" s="187"/>
      <c r="Z12" s="187"/>
      <c r="AA12" s="187"/>
      <c r="AB12" s="187"/>
      <c r="AC12" s="364"/>
      <c r="AD12" s="120"/>
      <c r="AE12" s="121"/>
    </row>
    <row r="13" spans="1:43" ht="14.1" customHeight="1" x14ac:dyDescent="0.2">
      <c r="A13" s="297">
        <v>1</v>
      </c>
      <c r="B13" s="282" t="s">
        <v>523</v>
      </c>
      <c r="C13" s="288"/>
      <c r="D13" s="133">
        <f>Produksi!F8</f>
        <v>16998.060199717966</v>
      </c>
      <c r="E13" s="333">
        <f>Stok!L7</f>
        <v>0</v>
      </c>
      <c r="F13" s="134">
        <f>'Impor_Pangan Masuk'!F7</f>
        <v>3945</v>
      </c>
      <c r="G13" s="134">
        <f>'Ekspor_Pangan Keluar'!F7</f>
        <v>0</v>
      </c>
      <c r="H13" s="134">
        <f>D13-E13+F13-G13</f>
        <v>20943.060199717966</v>
      </c>
      <c r="I13" s="134">
        <f>'Pemakaian Dalam Negeri'!E14</f>
        <v>28.896702339520541</v>
      </c>
      <c r="J13" s="334">
        <f>'Pemakaian Dalam Negeri'!F14</f>
        <v>0</v>
      </c>
      <c r="K13" s="134">
        <f>'Pemakaian Dalam Negeri'!G14</f>
        <v>0</v>
      </c>
      <c r="L13" s="134">
        <f>'Pemakaian Dalam Negeri'!H14</f>
        <v>424.95150499294914</v>
      </c>
      <c r="M13" s="134">
        <f>'Pemakaian Dalam Negeri'!I14</f>
        <v>112.18719731813857</v>
      </c>
      <c r="N13" s="134">
        <f>'Pemakaian Dalam Negeri'!J14</f>
        <v>20377.024795067358</v>
      </c>
      <c r="O13" s="126">
        <f>(N13+K13)/$Q$4*1000</f>
        <v>82.130649503506021</v>
      </c>
      <c r="P13" s="126">
        <f>O13/365*1000</f>
        <v>225.01547809179732</v>
      </c>
      <c r="Q13" s="568">
        <f>P13/100*T13/100*U13</f>
        <v>812.30587591138828</v>
      </c>
      <c r="R13" s="177">
        <f>P13/100*T13/100*V13</f>
        <v>19.733857428650623</v>
      </c>
      <c r="S13" s="178">
        <f>P13/100*T13/100*W13</f>
        <v>3.6002476494687574</v>
      </c>
      <c r="T13" s="466">
        <v>100</v>
      </c>
      <c r="U13" s="471">
        <v>361</v>
      </c>
      <c r="V13" s="381">
        <v>8.77</v>
      </c>
      <c r="W13" s="382">
        <v>1.6</v>
      </c>
      <c r="X13" s="187">
        <v>0</v>
      </c>
      <c r="Y13" s="187">
        <v>0.12</v>
      </c>
      <c r="Z13" s="187">
        <v>0</v>
      </c>
      <c r="AA13" s="187">
        <v>6</v>
      </c>
      <c r="AB13" s="187">
        <v>140</v>
      </c>
      <c r="AC13" s="364">
        <v>0.8</v>
      </c>
      <c r="AD13" s="120"/>
      <c r="AE13" s="120"/>
    </row>
    <row r="14" spans="1:43" ht="14.1" customHeight="1" x14ac:dyDescent="0.2">
      <c r="A14" s="297">
        <v>2</v>
      </c>
      <c r="B14" s="282" t="s">
        <v>530</v>
      </c>
      <c r="C14" s="345"/>
      <c r="D14" s="133">
        <f>Produksi!F9</f>
        <v>1843.0611375000001</v>
      </c>
      <c r="E14" s="333">
        <f>Stok!L8</f>
        <v>0</v>
      </c>
      <c r="F14" s="134">
        <f>'Impor_Pangan Masuk'!F8</f>
        <v>579</v>
      </c>
      <c r="G14" s="134">
        <f>'Ekspor_Pangan Keluar'!F8</f>
        <v>0</v>
      </c>
      <c r="H14" s="134">
        <f>D14-E14+F14-G14</f>
        <v>2422.0611374999999</v>
      </c>
      <c r="I14" s="134">
        <f>'Pemakaian Dalam Negeri'!E15</f>
        <v>0</v>
      </c>
      <c r="J14" s="346">
        <f>'Pemakaian Dalam Negeri'!F15</f>
        <v>0</v>
      </c>
      <c r="K14" s="134">
        <f>'Pemakaian Dalam Negeri'!G15</f>
        <v>507.42180830624994</v>
      </c>
      <c r="L14" s="134">
        <f>'Pemakaian Dalam Negeri'!H15</f>
        <v>111.89922455249999</v>
      </c>
      <c r="M14" s="134">
        <f>'Pemakaian Dalam Negeri'!I15</f>
        <v>0</v>
      </c>
      <c r="N14" s="134">
        <f>'Pemakaian Dalam Negeri'!J15</f>
        <v>1802.7401046412499</v>
      </c>
      <c r="O14" s="126">
        <f>(N14+K14)/$Q$4*1000</f>
        <v>9.3112267505592392</v>
      </c>
      <c r="P14" s="126">
        <f t="shared" ref="P14:P75" si="1">O14/365*1000</f>
        <v>25.510210275504765</v>
      </c>
      <c r="Q14" s="122">
        <f>P14/100*T14/100*U14</f>
        <v>93.622471711102477</v>
      </c>
      <c r="R14" s="126">
        <f>P14/100*T14/100*V14</f>
        <v>1.8290820767536915</v>
      </c>
      <c r="S14" s="127">
        <f>P14/100*T14/100*W14</f>
        <v>1.44642892262112</v>
      </c>
      <c r="T14" s="466">
        <v>100</v>
      </c>
      <c r="U14" s="471">
        <v>367</v>
      </c>
      <c r="V14" s="381">
        <v>7.17</v>
      </c>
      <c r="W14" s="382">
        <v>5.67</v>
      </c>
      <c r="X14" s="187">
        <v>510</v>
      </c>
      <c r="Y14" s="187">
        <v>0.38</v>
      </c>
      <c r="Z14" s="187">
        <v>0</v>
      </c>
      <c r="AA14" s="187">
        <v>10</v>
      </c>
      <c r="AB14" s="187">
        <v>256</v>
      </c>
      <c r="AC14" s="364">
        <v>2.4</v>
      </c>
      <c r="AD14" s="120"/>
      <c r="AE14" s="120"/>
    </row>
    <row r="15" spans="1:43" ht="14.1" customHeight="1" x14ac:dyDescent="0.2">
      <c r="A15" s="297">
        <v>3</v>
      </c>
      <c r="B15" s="282" t="s">
        <v>526</v>
      </c>
      <c r="C15" s="345"/>
      <c r="D15" s="133">
        <f>Produksi!F10</f>
        <v>0</v>
      </c>
      <c r="E15" s="333">
        <f>Stok!L9</f>
        <v>0</v>
      </c>
      <c r="F15" s="134">
        <f>'Impor_Pangan Masuk'!F9</f>
        <v>0</v>
      </c>
      <c r="G15" s="134">
        <f>'Ekspor_Pangan Keluar'!F9</f>
        <v>0</v>
      </c>
      <c r="H15" s="134">
        <f t="shared" ref="H15:H36" si="2">D15-E15+F15-G15</f>
        <v>0</v>
      </c>
      <c r="I15" s="134">
        <f>'Pemakaian Dalam Negeri'!E16</f>
        <v>0</v>
      </c>
      <c r="J15" s="334">
        <f>'Pemakaian Dalam Negeri'!F16</f>
        <v>0</v>
      </c>
      <c r="K15" s="346">
        <f>'Pemakaian Dalam Negeri'!G16</f>
        <v>0</v>
      </c>
      <c r="L15" s="346">
        <f>'Pemakaian Dalam Negeri'!H16</f>
        <v>0</v>
      </c>
      <c r="M15" s="346">
        <f>'Pemakaian Dalam Negeri'!I16</f>
        <v>0</v>
      </c>
      <c r="N15" s="346">
        <f>'Pemakaian Dalam Negeri'!J16</f>
        <v>0</v>
      </c>
      <c r="O15" s="126">
        <f t="shared" ref="O15:O75" si="3">(N15+K15)/$Q$4*1000</f>
        <v>0</v>
      </c>
      <c r="P15" s="126">
        <f t="shared" si="1"/>
        <v>0</v>
      </c>
      <c r="Q15" s="122">
        <f>P15/100*T15/100*U15</f>
        <v>0</v>
      </c>
      <c r="R15" s="126">
        <f>P15/100*T15/100*V15</f>
        <v>0</v>
      </c>
      <c r="S15" s="127">
        <f>P15/100*T15/100*W15</f>
        <v>0</v>
      </c>
      <c r="T15" s="466">
        <v>75.67</v>
      </c>
      <c r="U15" s="471">
        <f>$T$15/100*147</f>
        <v>111.23490000000001</v>
      </c>
      <c r="V15" s="381">
        <f>$T$15/100*5.1</f>
        <v>3.8591699999999998</v>
      </c>
      <c r="W15" s="382">
        <f>$T$15/100*0.7</f>
        <v>0.52968999999999999</v>
      </c>
      <c r="X15" s="187">
        <v>117</v>
      </c>
      <c r="Y15" s="187">
        <v>0.18</v>
      </c>
      <c r="Z15" s="187">
        <v>9</v>
      </c>
      <c r="AA15" s="187">
        <v>5</v>
      </c>
      <c r="AB15" s="187">
        <v>108</v>
      </c>
      <c r="AC15" s="364">
        <v>1.1000000000000001</v>
      </c>
      <c r="AD15" s="120" t="s">
        <v>533</v>
      </c>
      <c r="AE15" s="120">
        <v>147</v>
      </c>
      <c r="AF15" s="60">
        <v>5.0999999999999996</v>
      </c>
      <c r="AG15" s="60">
        <v>0.7</v>
      </c>
    </row>
    <row r="16" spans="1:43" ht="14.1" customHeight="1" x14ac:dyDescent="0.2">
      <c r="A16" s="297">
        <v>4</v>
      </c>
      <c r="B16" s="282" t="s">
        <v>53</v>
      </c>
      <c r="C16" s="345"/>
      <c r="D16" s="133">
        <f>Produksi!F11</f>
        <v>0</v>
      </c>
      <c r="E16" s="333">
        <f>Stok!L10</f>
        <v>0</v>
      </c>
      <c r="F16" s="134">
        <f>'Impor_Pangan Masuk'!F10</f>
        <v>0</v>
      </c>
      <c r="G16" s="134">
        <f>'Ekspor_Pangan Keluar'!F10</f>
        <v>0</v>
      </c>
      <c r="H16" s="134">
        <f t="shared" si="2"/>
        <v>0</v>
      </c>
      <c r="I16" s="134">
        <f>'Pemakaian Dalam Negeri'!E17</f>
        <v>0</v>
      </c>
      <c r="J16" s="134">
        <f>'Pemakaian Dalam Negeri'!F17</f>
        <v>0</v>
      </c>
      <c r="K16" s="134">
        <f>'Pemakaian Dalam Negeri'!G17</f>
        <v>0</v>
      </c>
      <c r="L16" s="134">
        <f>'Pemakaian Dalam Negeri'!H17</f>
        <v>0</v>
      </c>
      <c r="M16" s="134">
        <f>'Pemakaian Dalam Negeri'!I17</f>
        <v>0</v>
      </c>
      <c r="N16" s="134">
        <f>'Pemakaian Dalam Negeri'!J17</f>
        <v>0</v>
      </c>
      <c r="O16" s="126">
        <f t="shared" si="3"/>
        <v>0</v>
      </c>
      <c r="P16" s="126">
        <f t="shared" si="1"/>
        <v>0</v>
      </c>
      <c r="Q16" s="122">
        <f>P16/100*T16/100*U16</f>
        <v>0</v>
      </c>
      <c r="R16" s="126">
        <f>P16/100*T16/100*V16</f>
        <v>0</v>
      </c>
      <c r="S16" s="127">
        <f>P16/100*T16/100*W16</f>
        <v>0</v>
      </c>
      <c r="T16" s="466">
        <v>100</v>
      </c>
      <c r="U16" s="471">
        <v>334</v>
      </c>
      <c r="V16" s="381">
        <v>12.2</v>
      </c>
      <c r="W16" s="382">
        <v>2.2999999999999998</v>
      </c>
      <c r="X16" s="187">
        <v>0</v>
      </c>
      <c r="Y16" s="187">
        <v>0.18</v>
      </c>
      <c r="Z16" s="187">
        <v>0</v>
      </c>
      <c r="AA16" s="187">
        <v>16</v>
      </c>
      <c r="AB16" s="187">
        <v>106</v>
      </c>
      <c r="AC16" s="364">
        <v>1.2</v>
      </c>
      <c r="AD16" s="120"/>
      <c r="AE16" s="120"/>
    </row>
    <row r="17" spans="1:31" ht="14.1" customHeight="1" x14ac:dyDescent="0.2">
      <c r="A17" s="297"/>
      <c r="B17" s="282"/>
      <c r="C17" s="282"/>
      <c r="D17" s="133"/>
      <c r="E17" s="333"/>
      <c r="F17" s="134"/>
      <c r="G17" s="134"/>
      <c r="H17" s="134"/>
      <c r="I17" s="134"/>
      <c r="J17" s="334"/>
      <c r="K17" s="134"/>
      <c r="L17" s="134"/>
      <c r="M17" s="134"/>
      <c r="N17" s="134"/>
      <c r="O17" s="126"/>
      <c r="P17" s="126"/>
      <c r="Q17" s="122"/>
      <c r="R17" s="126"/>
      <c r="S17" s="127"/>
      <c r="T17" s="466"/>
      <c r="U17" s="471"/>
      <c r="V17" s="381"/>
      <c r="W17" s="382"/>
      <c r="X17" s="187"/>
      <c r="Y17" s="187"/>
      <c r="Z17" s="187"/>
      <c r="AA17" s="187"/>
      <c r="AB17" s="187"/>
      <c r="AC17" s="364"/>
      <c r="AD17" s="120"/>
      <c r="AE17" s="120"/>
    </row>
    <row r="18" spans="1:31" ht="14.1" customHeight="1" thickBot="1" x14ac:dyDescent="0.25">
      <c r="A18" s="335" t="s">
        <v>55</v>
      </c>
      <c r="B18" s="296"/>
      <c r="C18" s="282"/>
      <c r="D18" s="133"/>
      <c r="E18" s="333"/>
      <c r="F18" s="134"/>
      <c r="G18" s="134"/>
      <c r="H18" s="134"/>
      <c r="I18" s="134"/>
      <c r="J18" s="334"/>
      <c r="K18" s="134"/>
      <c r="L18" s="134"/>
      <c r="M18" s="134"/>
      <c r="N18" s="134"/>
      <c r="O18" s="126"/>
      <c r="P18" s="126"/>
      <c r="Q18" s="567">
        <f>SUM(Q19:Q22)</f>
        <v>13.318154516031345</v>
      </c>
      <c r="R18" s="340">
        <f t="shared" ref="R18" si="4">SUM(R19:R22)</f>
        <v>8.6481522831372379E-2</v>
      </c>
      <c r="S18" s="340">
        <f t="shared" ref="S18" si="5">SUM(S19:S22)</f>
        <v>2.5944456849411712E-2</v>
      </c>
      <c r="T18" s="466"/>
      <c r="U18" s="471"/>
      <c r="V18" s="381"/>
      <c r="W18" s="382"/>
      <c r="X18" s="187"/>
      <c r="Y18" s="187"/>
      <c r="Z18" s="187"/>
      <c r="AA18" s="187"/>
      <c r="AB18" s="187"/>
      <c r="AC18" s="364"/>
      <c r="AD18" s="120"/>
      <c r="AE18" s="120"/>
    </row>
    <row r="19" spans="1:31" ht="14.1" customHeight="1" x14ac:dyDescent="0.2">
      <c r="A19" s="297">
        <v>5</v>
      </c>
      <c r="B19" s="282" t="s">
        <v>56</v>
      </c>
      <c r="C19" s="45"/>
      <c r="D19" s="133">
        <f>Produksi!F16</f>
        <v>0</v>
      </c>
      <c r="E19" s="333">
        <f>Stok!L15</f>
        <v>0</v>
      </c>
      <c r="F19" s="134">
        <f>'Impor_Pangan Masuk'!F15</f>
        <v>0</v>
      </c>
      <c r="G19" s="134">
        <f>'Ekspor_Pangan Keluar'!F15</f>
        <v>0</v>
      </c>
      <c r="H19" s="134">
        <f t="shared" si="2"/>
        <v>0</v>
      </c>
      <c r="I19" s="134">
        <f>'Pemakaian Dalam Negeri'!E22</f>
        <v>0</v>
      </c>
      <c r="J19" s="134">
        <f>'Pemakaian Dalam Negeri'!F22</f>
        <v>0</v>
      </c>
      <c r="K19" s="134">
        <f>'Pemakaian Dalam Negeri'!G22</f>
        <v>0</v>
      </c>
      <c r="L19" s="134">
        <f>'Pemakaian Dalam Negeri'!H22</f>
        <v>0</v>
      </c>
      <c r="M19" s="134">
        <f>'Pemakaian Dalam Negeri'!I22</f>
        <v>0</v>
      </c>
      <c r="N19" s="134">
        <f>'Pemakaian Dalam Negeri'!J22</f>
        <v>0</v>
      </c>
      <c r="O19" s="126">
        <f t="shared" si="3"/>
        <v>0</v>
      </c>
      <c r="P19" s="126">
        <f t="shared" si="1"/>
        <v>0</v>
      </c>
      <c r="Q19" s="568">
        <f>P19/100*T19/100*U19</f>
        <v>0</v>
      </c>
      <c r="R19" s="177">
        <f>P19/100*T19/100*V19</f>
        <v>0</v>
      </c>
      <c r="S19" s="178">
        <f>P19/100*T19/100*W19</f>
        <v>0</v>
      </c>
      <c r="T19" s="466">
        <v>85</v>
      </c>
      <c r="U19" s="471">
        <v>109.8</v>
      </c>
      <c r="V19" s="381">
        <v>0.9</v>
      </c>
      <c r="W19" s="382">
        <v>0.34</v>
      </c>
      <c r="X19" s="187"/>
      <c r="Y19" s="187">
        <v>0.09</v>
      </c>
      <c r="Z19" s="187">
        <v>22</v>
      </c>
      <c r="AA19" s="187">
        <v>30</v>
      </c>
      <c r="AB19" s="187">
        <v>49</v>
      </c>
      <c r="AC19" s="364">
        <v>0.7</v>
      </c>
      <c r="AD19" s="120" t="s">
        <v>533</v>
      </c>
      <c r="AE19" s="120"/>
    </row>
    <row r="20" spans="1:31" ht="14.1" customHeight="1" x14ac:dyDescent="0.2">
      <c r="A20" s="297">
        <v>6</v>
      </c>
      <c r="B20" s="282" t="s">
        <v>57</v>
      </c>
      <c r="C20" s="45"/>
      <c r="D20" s="133">
        <f>Produksi!F17</f>
        <v>163</v>
      </c>
      <c r="E20" s="333">
        <f>Stok!L16</f>
        <v>0</v>
      </c>
      <c r="F20" s="134">
        <f>'Impor_Pangan Masuk'!F16</f>
        <v>819.58214417734735</v>
      </c>
      <c r="G20" s="134">
        <f>'Ekspor_Pangan Keluar'!F16</f>
        <v>0</v>
      </c>
      <c r="H20" s="134">
        <f t="shared" si="2"/>
        <v>982.58214417734735</v>
      </c>
      <c r="I20" s="134">
        <f>'Pemakaian Dalam Negeri'!E23</f>
        <v>19.651642883546948</v>
      </c>
      <c r="J20" s="134">
        <f>'Pemakaian Dalam Negeri'!F23</f>
        <v>0</v>
      </c>
      <c r="K20" s="134">
        <f>'Pemakaian Dalam Negeri'!G23</f>
        <v>0</v>
      </c>
      <c r="L20" s="134">
        <f>'Pemakaian Dalam Negeri'!H23</f>
        <v>41.563224698701788</v>
      </c>
      <c r="M20" s="134">
        <f>'Pemakaian Dalam Negeri'!I23</f>
        <v>0</v>
      </c>
      <c r="N20" s="134">
        <f>'Pemakaian Dalam Negeri'!J23</f>
        <v>921.36727659509859</v>
      </c>
      <c r="O20" s="126">
        <f t="shared" si="3"/>
        <v>3.7136183333471662</v>
      </c>
      <c r="P20" s="126">
        <f t="shared" si="1"/>
        <v>10.174296803690867</v>
      </c>
      <c r="Q20" s="122">
        <f>P20/100*T20/100*U20</f>
        <v>13.318154516031345</v>
      </c>
      <c r="R20" s="126">
        <f>P20/100*T20/100*V20</f>
        <v>8.6481522831372379E-2</v>
      </c>
      <c r="S20" s="127">
        <f>P20/100*T20/100*W20</f>
        <v>2.5944456849411712E-2</v>
      </c>
      <c r="T20" s="466">
        <v>85</v>
      </c>
      <c r="U20" s="471">
        <v>154</v>
      </c>
      <c r="V20" s="381">
        <v>1</v>
      </c>
      <c r="W20" s="382">
        <v>0.3</v>
      </c>
      <c r="X20" s="187">
        <v>0</v>
      </c>
      <c r="Y20" s="187">
        <v>0.06</v>
      </c>
      <c r="Z20" s="187">
        <v>30</v>
      </c>
      <c r="AA20" s="187">
        <v>33</v>
      </c>
      <c r="AB20" s="187">
        <v>40</v>
      </c>
      <c r="AC20" s="364">
        <v>0.7</v>
      </c>
      <c r="AD20" s="120"/>
      <c r="AE20" s="120"/>
    </row>
    <row r="21" spans="1:31" ht="14.1" customHeight="1" x14ac:dyDescent="0.2">
      <c r="A21" s="297">
        <v>7</v>
      </c>
      <c r="B21" s="282" t="s">
        <v>372</v>
      </c>
      <c r="C21" s="282"/>
      <c r="D21" s="133">
        <f>Produksi!F21</f>
        <v>0</v>
      </c>
      <c r="E21" s="333">
        <f>Stok!L20</f>
        <v>0</v>
      </c>
      <c r="F21" s="134">
        <f>'Impor_Pangan Masuk'!F20</f>
        <v>0</v>
      </c>
      <c r="G21" s="134">
        <f>'Ekspor_Pangan Keluar'!F20</f>
        <v>0</v>
      </c>
      <c r="H21" s="134">
        <f t="shared" si="2"/>
        <v>0</v>
      </c>
      <c r="I21" s="134">
        <f>'Pemakaian Dalam Negeri'!E27</f>
        <v>0</v>
      </c>
      <c r="J21" s="134">
        <f>'Pemakaian Dalam Negeri'!F27</f>
        <v>0</v>
      </c>
      <c r="K21" s="134">
        <f>'Pemakaian Dalam Negeri'!G27</f>
        <v>0</v>
      </c>
      <c r="L21" s="134">
        <f>'Pemakaian Dalam Negeri'!H27</f>
        <v>0</v>
      </c>
      <c r="M21" s="134">
        <f>'Pemakaian Dalam Negeri'!I27</f>
        <v>0</v>
      </c>
      <c r="N21" s="134">
        <f>'Pemakaian Dalam Negeri'!J27</f>
        <v>0</v>
      </c>
      <c r="O21" s="126">
        <f t="shared" si="3"/>
        <v>0</v>
      </c>
      <c r="P21" s="126">
        <f t="shared" si="1"/>
        <v>0</v>
      </c>
      <c r="Q21" s="122">
        <f>P21/100*T21/100*U21</f>
        <v>0</v>
      </c>
      <c r="R21" s="126">
        <f>P21/100*T21/100*V21</f>
        <v>0</v>
      </c>
      <c r="S21" s="127">
        <f>P21/100*T21/100*W21</f>
        <v>0</v>
      </c>
      <c r="T21" s="466">
        <v>100</v>
      </c>
      <c r="U21" s="471">
        <v>231</v>
      </c>
      <c r="V21" s="381">
        <v>0.6</v>
      </c>
      <c r="W21" s="382">
        <v>0.2</v>
      </c>
      <c r="X21" s="365">
        <v>0</v>
      </c>
      <c r="Y21" s="365">
        <v>0.01</v>
      </c>
      <c r="Z21" s="365">
        <v>0</v>
      </c>
      <c r="AA21" s="365">
        <v>11</v>
      </c>
      <c r="AB21" s="365">
        <v>13</v>
      </c>
      <c r="AC21" s="366">
        <v>1.2</v>
      </c>
      <c r="AD21" s="120" t="s">
        <v>533</v>
      </c>
      <c r="AE21" s="120"/>
    </row>
    <row r="22" spans="1:31" ht="14.1" customHeight="1" x14ac:dyDescent="0.2">
      <c r="A22" s="297">
        <v>8</v>
      </c>
      <c r="B22" s="282" t="s">
        <v>368</v>
      </c>
      <c r="C22" s="45"/>
      <c r="D22" s="133">
        <f>Produksi!F24</f>
        <v>0</v>
      </c>
      <c r="E22" s="333">
        <f>Stok!L23</f>
        <v>0</v>
      </c>
      <c r="F22" s="134">
        <f>'Impor_Pangan Masuk'!F23</f>
        <v>0</v>
      </c>
      <c r="G22" s="134">
        <f>'Ekspor_Pangan Keluar'!F23</f>
        <v>0</v>
      </c>
      <c r="H22" s="134">
        <f t="shared" si="2"/>
        <v>0</v>
      </c>
      <c r="I22" s="134">
        <f>'Pemakaian Dalam Negeri'!E30</f>
        <v>0</v>
      </c>
      <c r="J22" s="134">
        <f>'Pemakaian Dalam Negeri'!F30</f>
        <v>0</v>
      </c>
      <c r="K22" s="134">
        <f>'Pemakaian Dalam Negeri'!G30</f>
        <v>0</v>
      </c>
      <c r="L22" s="134">
        <f>'Pemakaian Dalam Negeri'!H30</f>
        <v>0</v>
      </c>
      <c r="M22" s="134">
        <f>'Pemakaian Dalam Negeri'!I30</f>
        <v>0</v>
      </c>
      <c r="N22" s="134">
        <f>'Pemakaian Dalam Negeri'!J30</f>
        <v>0</v>
      </c>
      <c r="O22" s="126">
        <f t="shared" si="3"/>
        <v>0</v>
      </c>
      <c r="P22" s="126">
        <f t="shared" si="1"/>
        <v>0</v>
      </c>
      <c r="Q22" s="122">
        <f>P22/100*T22/100*U22</f>
        <v>0</v>
      </c>
      <c r="R22" s="126">
        <f>P22/100*T22/100*V22</f>
        <v>0</v>
      </c>
      <c r="S22" s="127">
        <f>P22/100*T22/100*W22</f>
        <v>0</v>
      </c>
      <c r="T22" s="466">
        <v>85</v>
      </c>
      <c r="U22" s="471">
        <v>108</v>
      </c>
      <c r="V22" s="381">
        <v>1.4</v>
      </c>
      <c r="W22" s="382">
        <v>0.4</v>
      </c>
      <c r="X22" s="187"/>
      <c r="Y22" s="187"/>
      <c r="Z22" s="187"/>
      <c r="AA22" s="187"/>
      <c r="AB22" s="187"/>
      <c r="AC22" s="364"/>
      <c r="AD22" s="120" t="s">
        <v>534</v>
      </c>
      <c r="AE22" s="120"/>
    </row>
    <row r="23" spans="1:31" ht="14.1" customHeight="1" x14ac:dyDescent="0.2">
      <c r="A23" s="297"/>
      <c r="B23" s="282"/>
      <c r="C23" s="282"/>
      <c r="D23" s="133"/>
      <c r="E23" s="333"/>
      <c r="F23" s="134"/>
      <c r="G23" s="134"/>
      <c r="H23" s="134">
        <f t="shared" si="2"/>
        <v>0</v>
      </c>
      <c r="I23" s="134"/>
      <c r="J23" s="334"/>
      <c r="K23" s="134"/>
      <c r="L23" s="134"/>
      <c r="M23" s="134"/>
      <c r="N23" s="134"/>
      <c r="O23" s="126"/>
      <c r="P23" s="126"/>
      <c r="Q23" s="122"/>
      <c r="R23" s="126"/>
      <c r="S23" s="127"/>
      <c r="T23" s="466"/>
      <c r="U23" s="471"/>
      <c r="V23" s="381"/>
      <c r="W23" s="382"/>
      <c r="X23" s="187"/>
      <c r="Y23" s="187"/>
      <c r="Z23" s="187"/>
      <c r="AA23" s="187"/>
      <c r="AB23" s="187"/>
      <c r="AC23" s="364"/>
      <c r="AD23" s="120"/>
      <c r="AE23" s="120"/>
    </row>
    <row r="24" spans="1:31" ht="14.1" customHeight="1" thickBot="1" x14ac:dyDescent="0.25">
      <c r="A24" s="336" t="s">
        <v>59</v>
      </c>
      <c r="B24" s="282"/>
      <c r="C24" s="282"/>
      <c r="D24" s="133"/>
      <c r="E24" s="333"/>
      <c r="F24" s="134"/>
      <c r="G24" s="134"/>
      <c r="H24" s="134">
        <f t="shared" si="2"/>
        <v>0</v>
      </c>
      <c r="I24" s="134"/>
      <c r="J24" s="334"/>
      <c r="K24" s="134"/>
      <c r="L24" s="134"/>
      <c r="M24" s="134"/>
      <c r="N24" s="134"/>
      <c r="O24" s="126"/>
      <c r="P24" s="126"/>
      <c r="Q24" s="567">
        <f>SUM(Q25:Q26)</f>
        <v>112.11010238981341</v>
      </c>
      <c r="R24" s="340">
        <f t="shared" ref="R24:S24" si="6">SUM(R25:R26)</f>
        <v>0</v>
      </c>
      <c r="S24" s="340">
        <f t="shared" si="6"/>
        <v>0</v>
      </c>
      <c r="T24" s="466"/>
      <c r="U24" s="471"/>
      <c r="V24" s="381"/>
      <c r="W24" s="382"/>
      <c r="X24" s="187"/>
      <c r="Y24" s="187"/>
      <c r="Z24" s="187"/>
      <c r="AA24" s="187"/>
      <c r="AB24" s="187"/>
      <c r="AC24" s="364"/>
      <c r="AD24" s="120"/>
      <c r="AE24" s="120"/>
    </row>
    <row r="25" spans="1:31" ht="14.1" customHeight="1" x14ac:dyDescent="0.2">
      <c r="A25" s="297">
        <v>9</v>
      </c>
      <c r="B25" s="282" t="s">
        <v>527</v>
      </c>
      <c r="C25" s="45"/>
      <c r="D25" s="133">
        <f>Produksi!F27</f>
        <v>0</v>
      </c>
      <c r="E25" s="333">
        <f>Stok!L26</f>
        <v>0</v>
      </c>
      <c r="F25" s="134">
        <f>'Impor_Pangan Masuk'!F26</f>
        <v>2909</v>
      </c>
      <c r="G25" s="134">
        <f>'Ekspor_Pangan Keluar'!F26</f>
        <v>0</v>
      </c>
      <c r="H25" s="134">
        <f t="shared" si="2"/>
        <v>2909</v>
      </c>
      <c r="I25" s="134">
        <f>'Pemakaian Dalam Negeri'!E33</f>
        <v>0</v>
      </c>
      <c r="J25" s="134">
        <f>'Pemakaian Dalam Negeri'!F33</f>
        <v>0</v>
      </c>
      <c r="K25" s="134">
        <f>'Pemakaian Dalam Negeri'!G33</f>
        <v>0</v>
      </c>
      <c r="L25" s="134">
        <f>'Pemakaian Dalam Negeri'!H33</f>
        <v>119.85080000000001</v>
      </c>
      <c r="M25" s="134">
        <f>'Pemakaian Dalam Negeri'!I33</f>
        <v>0</v>
      </c>
      <c r="N25" s="134">
        <f>'Pemakaian Dalam Negeri'!J33</f>
        <v>2789.1491999999998</v>
      </c>
      <c r="O25" s="126">
        <f t="shared" si="3"/>
        <v>11.24180971765986</v>
      </c>
      <c r="P25" s="126">
        <f t="shared" si="1"/>
        <v>30.799478678520167</v>
      </c>
      <c r="Q25" s="568">
        <f>P25/100*T25/100*U25</f>
        <v>112.11010238981341</v>
      </c>
      <c r="R25" s="177">
        <f>P25/100*T25/100*V25</f>
        <v>0</v>
      </c>
      <c r="S25" s="178">
        <f>P25/100*T25/100*W25</f>
        <v>0</v>
      </c>
      <c r="T25" s="466">
        <v>100</v>
      </c>
      <c r="U25" s="471">
        <v>364</v>
      </c>
      <c r="V25" s="381">
        <v>0</v>
      </c>
      <c r="W25" s="382">
        <v>0</v>
      </c>
      <c r="X25" s="187">
        <v>0</v>
      </c>
      <c r="Y25" s="187">
        <v>0</v>
      </c>
      <c r="Z25" s="187">
        <v>0</v>
      </c>
      <c r="AA25" s="187">
        <v>5</v>
      </c>
      <c r="AB25" s="187">
        <v>1</v>
      </c>
      <c r="AC25" s="364">
        <v>0.1</v>
      </c>
      <c r="AD25" s="120"/>
      <c r="AE25" s="120"/>
    </row>
    <row r="26" spans="1:31" ht="14.1" customHeight="1" x14ac:dyDescent="0.2">
      <c r="A26" s="297">
        <v>10</v>
      </c>
      <c r="B26" s="282" t="s">
        <v>524</v>
      </c>
      <c r="C26" s="45"/>
      <c r="D26" s="133">
        <f>Produksi!F30</f>
        <v>0</v>
      </c>
      <c r="E26" s="333">
        <f>'Impor_Pangan Masuk'!F29</f>
        <v>0</v>
      </c>
      <c r="F26" s="134">
        <f>'Impor_Pangan Masuk'!F29</f>
        <v>0</v>
      </c>
      <c r="G26" s="134">
        <f>'Ekspor_Pangan Keluar'!F29</f>
        <v>0</v>
      </c>
      <c r="H26" s="134">
        <f t="shared" si="2"/>
        <v>0</v>
      </c>
      <c r="I26" s="134">
        <f>'Pemakaian Dalam Negeri'!E36</f>
        <v>0</v>
      </c>
      <c r="J26" s="134">
        <f>'Pemakaian Dalam Negeri'!F36</f>
        <v>0</v>
      </c>
      <c r="K26" s="134">
        <f>'Pemakaian Dalam Negeri'!G36</f>
        <v>0</v>
      </c>
      <c r="L26" s="134">
        <f>'Pemakaian Dalam Negeri'!H36</f>
        <v>0</v>
      </c>
      <c r="M26" s="134">
        <f>'Pemakaian Dalam Negeri'!I36</f>
        <v>0</v>
      </c>
      <c r="N26" s="134">
        <f>'Pemakaian Dalam Negeri'!J36</f>
        <v>0</v>
      </c>
      <c r="O26" s="126">
        <f t="shared" si="3"/>
        <v>0</v>
      </c>
      <c r="P26" s="126">
        <f t="shared" si="1"/>
        <v>0</v>
      </c>
      <c r="Q26" s="122">
        <f>P26/100*T26/100*U26</f>
        <v>0</v>
      </c>
      <c r="R26" s="126">
        <f>P26/100*T26/100*V26</f>
        <v>0</v>
      </c>
      <c r="S26" s="127">
        <f>P26/100*T26/100*W26</f>
        <v>0</v>
      </c>
      <c r="T26" s="466">
        <v>100</v>
      </c>
      <c r="U26" s="471">
        <v>377</v>
      </c>
      <c r="V26" s="381">
        <v>3</v>
      </c>
      <c r="W26" s="382">
        <v>10</v>
      </c>
      <c r="X26" s="187">
        <v>0</v>
      </c>
      <c r="Y26" s="187">
        <v>7.0000000000000001E-3</v>
      </c>
      <c r="Z26" s="187">
        <v>0</v>
      </c>
      <c r="AA26" s="187">
        <v>67</v>
      </c>
      <c r="AB26" s="187">
        <v>39</v>
      </c>
      <c r="AC26" s="364">
        <v>3.3</v>
      </c>
      <c r="AD26" s="120"/>
      <c r="AE26" s="120"/>
    </row>
    <row r="27" spans="1:31" ht="14.1" customHeight="1" x14ac:dyDescent="0.2">
      <c r="A27" s="297"/>
      <c r="B27" s="282"/>
      <c r="C27" s="282"/>
      <c r="D27" s="133"/>
      <c r="E27" s="333"/>
      <c r="F27" s="134"/>
      <c r="G27" s="134"/>
      <c r="H27" s="134">
        <f t="shared" si="2"/>
        <v>0</v>
      </c>
      <c r="I27" s="134"/>
      <c r="J27" s="334"/>
      <c r="K27" s="134"/>
      <c r="L27" s="134"/>
      <c r="M27" s="134"/>
      <c r="N27" s="134"/>
      <c r="O27" s="126"/>
      <c r="P27" s="126"/>
      <c r="Q27" s="122"/>
      <c r="R27" s="126"/>
      <c r="S27" s="127"/>
      <c r="T27" s="466"/>
      <c r="U27" s="471"/>
      <c r="V27" s="381"/>
      <c r="W27" s="382"/>
      <c r="X27" s="187"/>
      <c r="Y27" s="187"/>
      <c r="Z27" s="187"/>
      <c r="AA27" s="187"/>
      <c r="AB27" s="187"/>
      <c r="AC27" s="364"/>
      <c r="AD27" s="120"/>
      <c r="AE27" s="120"/>
    </row>
    <row r="28" spans="1:31" ht="14.1" customHeight="1" x14ac:dyDescent="0.2">
      <c r="A28" s="336" t="s">
        <v>2</v>
      </c>
      <c r="B28" s="282"/>
      <c r="C28" s="288"/>
      <c r="D28" s="133"/>
      <c r="E28" s="333"/>
      <c r="F28" s="134"/>
      <c r="G28" s="134"/>
      <c r="H28" s="134">
        <f t="shared" si="2"/>
        <v>0</v>
      </c>
      <c r="I28" s="134"/>
      <c r="J28" s="334"/>
      <c r="K28" s="134"/>
      <c r="L28" s="134"/>
      <c r="M28" s="134"/>
      <c r="N28" s="134"/>
      <c r="O28" s="126"/>
      <c r="P28" s="126"/>
      <c r="Q28" s="122"/>
      <c r="R28" s="126"/>
      <c r="S28" s="127"/>
      <c r="T28" s="466"/>
      <c r="U28" s="471"/>
      <c r="V28" s="381"/>
      <c r="W28" s="382"/>
      <c r="X28" s="187"/>
      <c r="Y28" s="187"/>
      <c r="Z28" s="187"/>
      <c r="AA28" s="187"/>
      <c r="AB28" s="187"/>
      <c r="AC28" s="364"/>
      <c r="AD28" s="120"/>
      <c r="AE28" s="120"/>
    </row>
    <row r="29" spans="1:31" ht="14.1" customHeight="1" thickBot="1" x14ac:dyDescent="0.25">
      <c r="A29" s="336"/>
      <c r="B29" s="292" t="s">
        <v>3</v>
      </c>
      <c r="C29" s="292"/>
      <c r="D29" s="133"/>
      <c r="E29" s="333"/>
      <c r="F29" s="134"/>
      <c r="G29" s="134"/>
      <c r="H29" s="134">
        <f t="shared" si="2"/>
        <v>0</v>
      </c>
      <c r="I29" s="134"/>
      <c r="J29" s="334"/>
      <c r="K29" s="134"/>
      <c r="L29" s="134"/>
      <c r="M29" s="134"/>
      <c r="N29" s="134"/>
      <c r="O29" s="126"/>
      <c r="P29" s="126"/>
      <c r="Q29" s="567">
        <f>SUM(Q30:Q33)</f>
        <v>67.687084737046533</v>
      </c>
      <c r="R29" s="340">
        <f t="shared" ref="R29" si="7">SUM(R30:R33)</f>
        <v>7.1540803103855986</v>
      </c>
      <c r="S29" s="340">
        <f t="shared" ref="S29" si="8">SUM(S30:S33)</f>
        <v>2.9817919096008012</v>
      </c>
      <c r="T29" s="466"/>
      <c r="U29" s="471"/>
      <c r="V29" s="381"/>
      <c r="W29" s="382"/>
      <c r="X29" s="187"/>
      <c r="Y29" s="187"/>
      <c r="Z29" s="187"/>
      <c r="AA29" s="187"/>
      <c r="AB29" s="187"/>
      <c r="AC29" s="364"/>
      <c r="AD29" s="120"/>
      <c r="AE29" s="120"/>
    </row>
    <row r="30" spans="1:31" ht="14.1" customHeight="1" x14ac:dyDescent="0.2">
      <c r="A30" s="297">
        <v>11</v>
      </c>
      <c r="B30" s="282" t="s">
        <v>531</v>
      </c>
      <c r="C30" s="45"/>
      <c r="D30" s="133">
        <f>Produksi!F34</f>
        <v>8.16</v>
      </c>
      <c r="E30" s="333">
        <f>Stok!L33</f>
        <v>0</v>
      </c>
      <c r="F30" s="134">
        <f>'Impor_Pangan Masuk'!F33</f>
        <v>0</v>
      </c>
      <c r="G30" s="134">
        <f>'Ekspor_Pangan Keluar'!F33</f>
        <v>0</v>
      </c>
      <c r="H30" s="134">
        <f t="shared" si="2"/>
        <v>8.16</v>
      </c>
      <c r="I30" s="134">
        <f>'Pemakaian Dalam Negeri'!E40</f>
        <v>0.89760000000000006</v>
      </c>
      <c r="J30" s="134">
        <f>'Pemakaian Dalam Negeri'!F40</f>
        <v>0</v>
      </c>
      <c r="K30" s="134">
        <f>'Pemakaian Dalam Negeri'!G40</f>
        <v>0.73929600000000006</v>
      </c>
      <c r="L30" s="134">
        <f>'Pemakaian Dalam Negeri'!H40</f>
        <v>0.249696</v>
      </c>
      <c r="M30" s="134">
        <f>'Pemakaian Dalam Negeri'!I40</f>
        <v>0</v>
      </c>
      <c r="N30" s="134">
        <f>'Pemakaian Dalam Negeri'!J40</f>
        <v>6.2734079999999999</v>
      </c>
      <c r="O30" s="126">
        <f t="shared" si="3"/>
        <v>2.8265065194171823E-2</v>
      </c>
      <c r="P30" s="126">
        <f t="shared" si="1"/>
        <v>7.7438534778552948E-2</v>
      </c>
      <c r="Q30" s="568">
        <f>P30/100*T30/100*U30</f>
        <v>0.42436317058647016</v>
      </c>
      <c r="R30" s="177">
        <f>P30/100*T30/100*V30</f>
        <v>2.176022827277338E-2</v>
      </c>
      <c r="S30" s="178">
        <f>P30/100*T30/100*W30</f>
        <v>3.3530885559113426E-2</v>
      </c>
      <c r="T30" s="466">
        <v>100</v>
      </c>
      <c r="U30" s="471">
        <v>548</v>
      </c>
      <c r="V30" s="381">
        <v>28.1</v>
      </c>
      <c r="W30" s="382">
        <v>43.3</v>
      </c>
      <c r="X30" s="187">
        <v>0</v>
      </c>
      <c r="Y30" s="187">
        <v>0.3</v>
      </c>
      <c r="Z30" s="187">
        <v>3</v>
      </c>
      <c r="AA30" s="187">
        <v>58</v>
      </c>
      <c r="AB30" s="187">
        <v>335</v>
      </c>
      <c r="AC30" s="364">
        <v>1.3</v>
      </c>
      <c r="AD30" s="120"/>
      <c r="AE30" s="120"/>
    </row>
    <row r="31" spans="1:31" ht="14.1" customHeight="1" x14ac:dyDescent="0.2">
      <c r="A31" s="297">
        <v>12</v>
      </c>
      <c r="B31" s="282" t="s">
        <v>64</v>
      </c>
      <c r="C31" s="296"/>
      <c r="D31" s="133">
        <f>Produksi!F35</f>
        <v>0</v>
      </c>
      <c r="E31" s="333">
        <f>Stok!L34</f>
        <v>0</v>
      </c>
      <c r="F31" s="134">
        <f>'Impor_Pangan Masuk'!F34</f>
        <v>1859</v>
      </c>
      <c r="G31" s="134">
        <f>'Ekspor_Pangan Keluar'!F34</f>
        <v>0</v>
      </c>
      <c r="H31" s="134">
        <f t="shared" si="2"/>
        <v>1859</v>
      </c>
      <c r="I31" s="134">
        <f>'Pemakaian Dalam Negeri'!E41</f>
        <v>260.26000000000005</v>
      </c>
      <c r="J31" s="134">
        <f>'Pemakaian Dalam Negeri'!F41</f>
        <v>0</v>
      </c>
      <c r="K31" s="134">
        <f>'Pemakaian Dalam Negeri'!G41</f>
        <v>0</v>
      </c>
      <c r="L31" s="134">
        <f>'Pemakaian Dalam Negeri'!H41</f>
        <v>0</v>
      </c>
      <c r="M31" s="134">
        <f>'Pemakaian Dalam Negeri'!I41</f>
        <v>0</v>
      </c>
      <c r="N31" s="134">
        <f>'Pemakaian Dalam Negeri'!J41</f>
        <v>1598.74</v>
      </c>
      <c r="O31" s="126">
        <f t="shared" si="3"/>
        <v>6.4438040345821319</v>
      </c>
      <c r="P31" s="126">
        <f t="shared" si="1"/>
        <v>17.654257628992141</v>
      </c>
      <c r="Q31" s="122">
        <f>P31/100*T31/100*U31</f>
        <v>67.262721566460058</v>
      </c>
      <c r="R31" s="126">
        <f>P31/100*T31/100*V31</f>
        <v>7.132320082112825</v>
      </c>
      <c r="S31" s="127">
        <f>P31/100*T31/100*W31</f>
        <v>2.9482610240416878</v>
      </c>
      <c r="T31" s="466">
        <v>100</v>
      </c>
      <c r="U31" s="471">
        <v>381</v>
      </c>
      <c r="V31" s="381">
        <v>40.4</v>
      </c>
      <c r="W31" s="382">
        <v>16.7</v>
      </c>
      <c r="X31" s="187">
        <v>110</v>
      </c>
      <c r="Y31" s="187">
        <v>1.07</v>
      </c>
      <c r="Z31" s="187">
        <v>0</v>
      </c>
      <c r="AA31" s="187">
        <v>227</v>
      </c>
      <c r="AB31" s="187">
        <v>585</v>
      </c>
      <c r="AC31" s="364">
        <v>8</v>
      </c>
      <c r="AD31" s="120"/>
      <c r="AE31" s="120"/>
    </row>
    <row r="32" spans="1:31" ht="14.1" customHeight="1" x14ac:dyDescent="0.2">
      <c r="A32" s="297">
        <v>13</v>
      </c>
      <c r="B32" s="282" t="s">
        <v>65</v>
      </c>
      <c r="C32" s="45"/>
      <c r="D32" s="133">
        <f>Produksi!F36</f>
        <v>0</v>
      </c>
      <c r="E32" s="333">
        <f>Stok!L35</f>
        <v>0</v>
      </c>
      <c r="F32" s="134">
        <f>'Impor_Pangan Masuk'!F35</f>
        <v>0</v>
      </c>
      <c r="G32" s="134">
        <f>'Ekspor_Pangan Keluar'!F35</f>
        <v>0</v>
      </c>
      <c r="H32" s="134">
        <f t="shared" ref="H32:H33" si="9">D32-E32+F32-G32</f>
        <v>0</v>
      </c>
      <c r="I32" s="134">
        <f>'Pemakaian Dalam Negeri'!E42</f>
        <v>0</v>
      </c>
      <c r="J32" s="134">
        <f>'Pemakaian Dalam Negeri'!F42</f>
        <v>0</v>
      </c>
      <c r="K32" s="134">
        <f>'Pemakaian Dalam Negeri'!G42</f>
        <v>0</v>
      </c>
      <c r="L32" s="134">
        <f>'Pemakaian Dalam Negeri'!H42</f>
        <v>0</v>
      </c>
      <c r="M32" s="134">
        <f>'Pemakaian Dalam Negeri'!I42</f>
        <v>0</v>
      </c>
      <c r="N32" s="134">
        <f>'Pemakaian Dalam Negeri'!J42</f>
        <v>0</v>
      </c>
      <c r="O32" s="126">
        <f t="shared" si="3"/>
        <v>0</v>
      </c>
      <c r="P32" s="126">
        <f t="shared" si="1"/>
        <v>0</v>
      </c>
      <c r="Q32" s="122">
        <f>P32/100*T32/100*U32</f>
        <v>0</v>
      </c>
      <c r="R32" s="126">
        <f>P32/100*T32/100*V32</f>
        <v>0</v>
      </c>
      <c r="S32" s="127">
        <f>P32/100*T32/100*W32</f>
        <v>0</v>
      </c>
      <c r="T32" s="466">
        <v>100</v>
      </c>
      <c r="U32" s="471">
        <v>337.3</v>
      </c>
      <c r="V32" s="381">
        <v>20.27</v>
      </c>
      <c r="W32" s="382">
        <v>1.8</v>
      </c>
      <c r="X32" s="187">
        <v>157</v>
      </c>
      <c r="Y32" s="187">
        <v>0.64</v>
      </c>
      <c r="Z32" s="187">
        <v>6</v>
      </c>
      <c r="AA32" s="187">
        <v>125</v>
      </c>
      <c r="AB32" s="187">
        <v>320</v>
      </c>
      <c r="AC32" s="364">
        <v>6.7</v>
      </c>
      <c r="AD32" s="120"/>
      <c r="AE32" s="120"/>
    </row>
    <row r="33" spans="1:34" ht="14.1" customHeight="1" x14ac:dyDescent="0.2">
      <c r="A33" s="297">
        <v>14</v>
      </c>
      <c r="B33" s="282" t="s">
        <v>532</v>
      </c>
      <c r="C33" s="45"/>
      <c r="D33" s="133">
        <f>Produksi!F37</f>
        <v>0</v>
      </c>
      <c r="E33" s="333">
        <f>Stok!L36</f>
        <v>0</v>
      </c>
      <c r="F33" s="134">
        <f>'Impor_Pangan Masuk'!F36</f>
        <v>0</v>
      </c>
      <c r="G33" s="134">
        <f>'Ekspor_Pangan Keluar'!F36</f>
        <v>0</v>
      </c>
      <c r="H33" s="134">
        <f t="shared" si="9"/>
        <v>0</v>
      </c>
      <c r="I33" s="134">
        <f>'Pemakaian Dalam Negeri'!E43</f>
        <v>0</v>
      </c>
      <c r="J33" s="134">
        <f>'Pemakaian Dalam Negeri'!F43</f>
        <v>0</v>
      </c>
      <c r="K33" s="134">
        <f>'Pemakaian Dalam Negeri'!G43</f>
        <v>0</v>
      </c>
      <c r="L33" s="134">
        <f>'Pemakaian Dalam Negeri'!H43</f>
        <v>0</v>
      </c>
      <c r="M33" s="134">
        <f>'Pemakaian Dalam Negeri'!I43</f>
        <v>0</v>
      </c>
      <c r="N33" s="134">
        <f>'Pemakaian Dalam Negeri'!J43</f>
        <v>0</v>
      </c>
      <c r="O33" s="126">
        <f t="shared" si="3"/>
        <v>0</v>
      </c>
      <c r="P33" s="126">
        <f t="shared" si="1"/>
        <v>0</v>
      </c>
      <c r="Q33" s="122">
        <f>P33/100*T33/100*U33</f>
        <v>0</v>
      </c>
      <c r="R33" s="126">
        <f>P33/100*T33/100*V33</f>
        <v>0</v>
      </c>
      <c r="S33" s="127">
        <f>P33/100*T33/100*W33</f>
        <v>0</v>
      </c>
      <c r="T33" s="466">
        <v>53</v>
      </c>
      <c r="U33" s="471">
        <v>359</v>
      </c>
      <c r="V33" s="381">
        <v>3.4</v>
      </c>
      <c r="W33" s="382">
        <v>34.700000000000003</v>
      </c>
      <c r="X33" s="187">
        <v>0</v>
      </c>
      <c r="Y33" s="187">
        <v>0.1</v>
      </c>
      <c r="Z33" s="187">
        <v>2</v>
      </c>
      <c r="AA33" s="187">
        <v>21</v>
      </c>
      <c r="AB33" s="187">
        <v>98</v>
      </c>
      <c r="AC33" s="364">
        <v>2</v>
      </c>
      <c r="AD33" s="120"/>
      <c r="AE33" s="120"/>
    </row>
    <row r="34" spans="1:34" ht="14.1" customHeight="1" x14ac:dyDescent="0.2">
      <c r="A34" s="297"/>
      <c r="B34" s="282"/>
      <c r="C34" s="282"/>
      <c r="D34" s="133"/>
      <c r="E34" s="333"/>
      <c r="F34" s="134"/>
      <c r="G34" s="134"/>
      <c r="H34" s="134">
        <f t="shared" si="2"/>
        <v>0</v>
      </c>
      <c r="I34" s="134"/>
      <c r="J34" s="334"/>
      <c r="K34" s="134"/>
      <c r="L34" s="134"/>
      <c r="M34" s="134"/>
      <c r="N34" s="134"/>
      <c r="O34" s="126"/>
      <c r="P34" s="126"/>
      <c r="Q34" s="122"/>
      <c r="R34" s="126"/>
      <c r="S34" s="127"/>
      <c r="T34" s="467"/>
      <c r="U34" s="472"/>
      <c r="V34" s="383"/>
      <c r="W34" s="384"/>
      <c r="X34" s="187"/>
      <c r="Y34" s="187"/>
      <c r="Z34" s="187"/>
      <c r="AA34" s="187"/>
      <c r="AB34" s="187"/>
      <c r="AC34" s="364"/>
      <c r="AD34" s="120"/>
      <c r="AE34" s="120"/>
    </row>
    <row r="35" spans="1:34" ht="14.1" customHeight="1" thickBot="1" x14ac:dyDescent="0.25">
      <c r="A35" s="336" t="s">
        <v>68</v>
      </c>
      <c r="B35" s="282"/>
      <c r="C35" s="282"/>
      <c r="D35" s="133"/>
      <c r="E35" s="333"/>
      <c r="F35" s="134"/>
      <c r="G35" s="134"/>
      <c r="H35" s="134">
        <f t="shared" si="2"/>
        <v>0</v>
      </c>
      <c r="I35" s="134"/>
      <c r="J35" s="334"/>
      <c r="K35" s="134"/>
      <c r="L35" s="134"/>
      <c r="M35" s="134"/>
      <c r="N35" s="134"/>
      <c r="O35" s="126"/>
      <c r="P35" s="126"/>
      <c r="Q35" s="567">
        <f>SUM(Q36:Q75)</f>
        <v>77.705698996641146</v>
      </c>
      <c r="R35" s="340">
        <f t="shared" ref="R35:S35" si="10">SUM(R36:R75)</f>
        <v>1.1021330266155132</v>
      </c>
      <c r="S35" s="340">
        <f t="shared" si="10"/>
        <v>0.72488447871953943</v>
      </c>
      <c r="T35" s="467"/>
      <c r="U35" s="472"/>
      <c r="V35" s="383"/>
      <c r="W35" s="384"/>
      <c r="X35" s="187"/>
      <c r="Y35" s="187"/>
      <c r="Z35" s="187"/>
      <c r="AA35" s="187"/>
      <c r="AB35" s="187"/>
      <c r="AC35" s="364"/>
      <c r="AD35" s="120"/>
      <c r="AE35" s="120"/>
    </row>
    <row r="36" spans="1:34" ht="14.1" customHeight="1" x14ac:dyDescent="0.2">
      <c r="A36" s="297">
        <v>15</v>
      </c>
      <c r="B36" s="293" t="s">
        <v>69</v>
      </c>
      <c r="C36" s="45"/>
      <c r="D36" s="133">
        <f>Produksi!F42</f>
        <v>85.3</v>
      </c>
      <c r="E36" s="333">
        <f>Stok!L41</f>
        <v>0</v>
      </c>
      <c r="F36" s="134">
        <f>'Impor_Pangan Masuk'!F41</f>
        <v>199.90131178285463</v>
      </c>
      <c r="G36" s="134">
        <f>'Ekspor_Pangan Keluar'!F41</f>
        <v>0</v>
      </c>
      <c r="H36" s="134">
        <f t="shared" si="2"/>
        <v>285.20131178285465</v>
      </c>
      <c r="I36" s="134">
        <f>'Pemakaian Dalam Negeri'!E48</f>
        <v>0</v>
      </c>
      <c r="J36" s="134">
        <f>'Pemakaian Dalam Negeri'!F48</f>
        <v>0</v>
      </c>
      <c r="K36" s="134">
        <f>'Pemakaian Dalam Negeri'!G48</f>
        <v>0</v>
      </c>
      <c r="L36" s="134">
        <f>'Pemakaian Dalam Negeri'!H48</f>
        <v>3.1657345607896867</v>
      </c>
      <c r="M36" s="134">
        <f>'Pemakaian Dalam Negeri'!I48</f>
        <v>0</v>
      </c>
      <c r="N36" s="134">
        <f>'Pemakaian Dalam Negeri'!J48</f>
        <v>282.03557722206494</v>
      </c>
      <c r="O36" s="126">
        <f t="shared" si="3"/>
        <v>1.1367589416660888</v>
      </c>
      <c r="P36" s="126">
        <f t="shared" si="1"/>
        <v>3.1144080593591474</v>
      </c>
      <c r="Q36" s="568">
        <f t="shared" ref="Q36:Q75" si="11">P36/100*T36/100*U36</f>
        <v>1.6148205787777179</v>
      </c>
      <c r="R36" s="177">
        <f t="shared" ref="R36:R75" si="12">P36/100*T36/100*V36</f>
        <v>1.7098100245881719E-2</v>
      </c>
      <c r="S36" s="178">
        <f t="shared" ref="S36:S75" si="13">P36/100*T36/100*W36</f>
        <v>0.12348627955359019</v>
      </c>
      <c r="T36" s="466">
        <v>61</v>
      </c>
      <c r="U36" s="471">
        <v>85</v>
      </c>
      <c r="V36" s="381">
        <v>0.9</v>
      </c>
      <c r="W36" s="382">
        <v>6.5</v>
      </c>
      <c r="X36" s="187">
        <v>180</v>
      </c>
      <c r="Y36" s="187">
        <v>0.05</v>
      </c>
      <c r="Z36" s="187">
        <v>13</v>
      </c>
      <c r="AA36" s="187">
        <v>10</v>
      </c>
      <c r="AB36" s="187">
        <v>20</v>
      </c>
      <c r="AC36" s="364">
        <v>0.9</v>
      </c>
      <c r="AE36" s="351">
        <v>61</v>
      </c>
      <c r="AF36" s="351">
        <v>85</v>
      </c>
      <c r="AG36" s="351">
        <v>0.9</v>
      </c>
      <c r="AH36" s="351">
        <v>6.5</v>
      </c>
    </row>
    <row r="37" spans="1:34" ht="14.1" customHeight="1" x14ac:dyDescent="0.2">
      <c r="A37" s="297">
        <v>16</v>
      </c>
      <c r="B37" s="293" t="s">
        <v>70</v>
      </c>
      <c r="C37" s="45"/>
      <c r="D37" s="133">
        <f>Produksi!F43</f>
        <v>2</v>
      </c>
      <c r="E37" s="333">
        <f>Stok!L42</f>
        <v>0</v>
      </c>
      <c r="F37" s="134">
        <f>'Impor_Pangan Masuk'!F42</f>
        <v>1465.5749902376765</v>
      </c>
      <c r="G37" s="134">
        <f>'Ekspor_Pangan Keluar'!F42</f>
        <v>0</v>
      </c>
      <c r="H37" s="134">
        <f t="shared" ref="H37:H101" si="14">D37-E37+F37-G37</f>
        <v>1467.5749902376765</v>
      </c>
      <c r="I37" s="134">
        <f>'Pemakaian Dalam Negeri'!E49</f>
        <v>0</v>
      </c>
      <c r="J37" s="134">
        <f>'Pemakaian Dalam Negeri'!F49</f>
        <v>0</v>
      </c>
      <c r="K37" s="134">
        <f>'Pemakaian Dalam Negeri'!G49</f>
        <v>0</v>
      </c>
      <c r="L37" s="134">
        <f>'Pemakaian Dalam Negeri'!H49</f>
        <v>16.290082391638212</v>
      </c>
      <c r="M37" s="134">
        <f>'Pemakaian Dalam Negeri'!I49</f>
        <v>0</v>
      </c>
      <c r="N37" s="134">
        <f>'Pemakaian Dalam Negeri'!J49</f>
        <v>1451.2849078460383</v>
      </c>
      <c r="O37" s="126">
        <f t="shared" si="3"/>
        <v>5.8494786797768619</v>
      </c>
      <c r="P37" s="126">
        <f t="shared" si="1"/>
        <v>16.025968985690032</v>
      </c>
      <c r="Q37" s="122">
        <f>P37/100*T37/100*U37</f>
        <v>5.5516823612281812</v>
      </c>
      <c r="R37" s="126">
        <f t="shared" si="12"/>
        <v>5.5901143977124541E-2</v>
      </c>
      <c r="S37" s="127">
        <f t="shared" si="13"/>
        <v>5.0078108146174069E-2</v>
      </c>
      <c r="T37" s="468">
        <v>72.67</v>
      </c>
      <c r="U37" s="473">
        <v>47.67</v>
      </c>
      <c r="V37" s="351">
        <v>0.48</v>
      </c>
      <c r="W37" s="386">
        <v>0.43</v>
      </c>
      <c r="X37" s="187">
        <v>210</v>
      </c>
      <c r="Y37" s="187">
        <v>0.06</v>
      </c>
      <c r="Z37" s="187">
        <v>41</v>
      </c>
      <c r="AA37" s="187">
        <v>30</v>
      </c>
      <c r="AB37" s="187">
        <v>24</v>
      </c>
      <c r="AC37" s="364">
        <v>0.4</v>
      </c>
      <c r="AD37" s="120" t="s">
        <v>533</v>
      </c>
      <c r="AE37" s="352" t="s">
        <v>535</v>
      </c>
      <c r="AF37" s="352" t="s">
        <v>536</v>
      </c>
      <c r="AG37" s="352" t="s">
        <v>537</v>
      </c>
      <c r="AH37" s="352" t="s">
        <v>538</v>
      </c>
    </row>
    <row r="38" spans="1:34" ht="14.1" customHeight="1" x14ac:dyDescent="0.2">
      <c r="A38" s="297">
        <v>17</v>
      </c>
      <c r="B38" s="293" t="s">
        <v>71</v>
      </c>
      <c r="C38" s="45"/>
      <c r="D38" s="133">
        <f>Produksi!F44</f>
        <v>5706.2</v>
      </c>
      <c r="E38" s="333">
        <f>Stok!L43</f>
        <v>0</v>
      </c>
      <c r="F38" s="134">
        <f>'Impor_Pangan Masuk'!F43</f>
        <v>0</v>
      </c>
      <c r="G38" s="134">
        <f>'Ekspor_Pangan Keluar'!F43</f>
        <v>0</v>
      </c>
      <c r="H38" s="134">
        <f t="shared" si="14"/>
        <v>5706.2</v>
      </c>
      <c r="I38" s="134">
        <f>'Pemakaian Dalam Negeri'!E50</f>
        <v>0</v>
      </c>
      <c r="J38" s="134">
        <f>'Pemakaian Dalam Negeri'!F50</f>
        <v>0</v>
      </c>
      <c r="K38" s="134">
        <f>'Pemakaian Dalam Negeri'!G50</f>
        <v>0</v>
      </c>
      <c r="L38" s="134">
        <f>'Pemakaian Dalam Negeri'!H50</f>
        <v>63.338819999999998</v>
      </c>
      <c r="M38" s="134">
        <f>'Pemakaian Dalam Negeri'!I50</f>
        <v>0</v>
      </c>
      <c r="N38" s="134">
        <f>'Pemakaian Dalam Negeri'!J50</f>
        <v>5642.8611799999999</v>
      </c>
      <c r="O38" s="126">
        <f t="shared" si="3"/>
        <v>22.743843050321438</v>
      </c>
      <c r="P38" s="126">
        <f t="shared" si="1"/>
        <v>62.311898768003935</v>
      </c>
      <c r="Q38" s="122">
        <f t="shared" si="11"/>
        <v>25.124157583259187</v>
      </c>
      <c r="R38" s="126">
        <f t="shared" si="12"/>
        <v>0.39879615211522518</v>
      </c>
      <c r="S38" s="127">
        <f t="shared" si="13"/>
        <v>7.9759230423045044E-2</v>
      </c>
      <c r="T38" s="466">
        <v>64</v>
      </c>
      <c r="U38" s="471">
        <v>63</v>
      </c>
      <c r="V38" s="381">
        <v>1</v>
      </c>
      <c r="W38" s="382">
        <v>0.2</v>
      </c>
      <c r="X38" s="187">
        <v>0</v>
      </c>
      <c r="Y38" s="187">
        <v>0.05</v>
      </c>
      <c r="Z38" s="187">
        <v>9</v>
      </c>
      <c r="AA38" s="187">
        <v>18</v>
      </c>
      <c r="AB38" s="187">
        <v>9</v>
      </c>
      <c r="AC38" s="364">
        <v>0.9</v>
      </c>
      <c r="AE38" s="351">
        <v>64</v>
      </c>
      <c r="AF38" s="351">
        <v>63</v>
      </c>
      <c r="AG38" s="351">
        <v>1</v>
      </c>
      <c r="AH38" s="351">
        <v>0.2</v>
      </c>
    </row>
    <row r="39" spans="1:34" ht="14.1" customHeight="1" x14ac:dyDescent="0.2">
      <c r="A39" s="297">
        <v>18</v>
      </c>
      <c r="B39" s="293" t="s">
        <v>72</v>
      </c>
      <c r="C39" s="45"/>
      <c r="D39" s="133">
        <f>Produksi!F45</f>
        <v>4808.8999999999996</v>
      </c>
      <c r="E39" s="333">
        <f>Stok!L44</f>
        <v>0</v>
      </c>
      <c r="F39" s="134">
        <f>'Impor_Pangan Masuk'!F44</f>
        <v>4</v>
      </c>
      <c r="G39" s="134">
        <f>'Ekspor_Pangan Keluar'!F44</f>
        <v>0</v>
      </c>
      <c r="H39" s="134">
        <f t="shared" si="14"/>
        <v>4812.8999999999996</v>
      </c>
      <c r="I39" s="134">
        <f>'Pemakaian Dalam Negeri'!E51</f>
        <v>0</v>
      </c>
      <c r="J39" s="134">
        <f>'Pemakaian Dalam Negeri'!F51</f>
        <v>0</v>
      </c>
      <c r="K39" s="134">
        <f>'Pemakaian Dalam Negeri'!G51</f>
        <v>0</v>
      </c>
      <c r="L39" s="134">
        <f>'Pemakaian Dalam Negeri'!H51</f>
        <v>53.423189999999998</v>
      </c>
      <c r="M39" s="134">
        <f>'Pemakaian Dalam Negeri'!I51</f>
        <v>0</v>
      </c>
      <c r="N39" s="134">
        <f>'Pemakaian Dalam Negeri'!J51</f>
        <v>4759.4768099999992</v>
      </c>
      <c r="O39" s="126">
        <f t="shared" si="3"/>
        <v>19.183316781201505</v>
      </c>
      <c r="P39" s="126">
        <f t="shared" si="1"/>
        <v>52.557032277264398</v>
      </c>
      <c r="Q39" s="122">
        <f t="shared" si="11"/>
        <v>15.493813115337543</v>
      </c>
      <c r="R39" s="126">
        <f t="shared" si="12"/>
        <v>0.28906367752495415</v>
      </c>
      <c r="S39" s="127">
        <f t="shared" si="13"/>
        <v>0.34687641302994499</v>
      </c>
      <c r="T39" s="466">
        <v>22</v>
      </c>
      <c r="U39" s="471">
        <v>134</v>
      </c>
      <c r="V39" s="381">
        <v>2.5</v>
      </c>
      <c r="W39" s="382">
        <v>3</v>
      </c>
      <c r="X39" s="187">
        <v>175</v>
      </c>
      <c r="Y39" s="187">
        <v>0.1</v>
      </c>
      <c r="Z39" s="187">
        <v>53</v>
      </c>
      <c r="AA39" s="187">
        <v>7.4</v>
      </c>
      <c r="AB39" s="187">
        <v>44</v>
      </c>
      <c r="AC39" s="364">
        <v>1.3</v>
      </c>
      <c r="AE39" s="351">
        <v>22</v>
      </c>
      <c r="AF39" s="351">
        <v>149</v>
      </c>
      <c r="AG39" s="351">
        <v>2.5</v>
      </c>
      <c r="AH39" s="351">
        <v>3</v>
      </c>
    </row>
    <row r="40" spans="1:34" ht="14.1" customHeight="1" x14ac:dyDescent="0.2">
      <c r="A40" s="297">
        <v>19</v>
      </c>
      <c r="B40" s="293" t="s">
        <v>73</v>
      </c>
      <c r="C40" s="45"/>
      <c r="D40" s="133">
        <f>Produksi!F46</f>
        <v>10.199999999999999</v>
      </c>
      <c r="E40" s="333">
        <f>Stok!L45</f>
        <v>0</v>
      </c>
      <c r="F40" s="134">
        <f>'Impor_Pangan Masuk'!F45</f>
        <v>0</v>
      </c>
      <c r="G40" s="134">
        <f>'Ekspor_Pangan Keluar'!F45</f>
        <v>0</v>
      </c>
      <c r="H40" s="134">
        <f t="shared" si="14"/>
        <v>10.199999999999999</v>
      </c>
      <c r="I40" s="134">
        <f>'Pemakaian Dalam Negeri'!E52</f>
        <v>0</v>
      </c>
      <c r="J40" s="134">
        <f>'Pemakaian Dalam Negeri'!F52</f>
        <v>0</v>
      </c>
      <c r="K40" s="134">
        <f>'Pemakaian Dalam Negeri'!G52</f>
        <v>0</v>
      </c>
      <c r="L40" s="134">
        <f>'Pemakaian Dalam Negeri'!H52</f>
        <v>0.11322</v>
      </c>
      <c r="M40" s="134">
        <f>'Pemakaian Dalam Negeri'!I52</f>
        <v>0</v>
      </c>
      <c r="N40" s="134">
        <f>'Pemakaian Dalam Negeri'!J52</f>
        <v>10.086779999999999</v>
      </c>
      <c r="O40" s="126">
        <f t="shared" si="3"/>
        <v>4.0655287076036356E-2</v>
      </c>
      <c r="P40" s="126">
        <f t="shared" si="1"/>
        <v>0.11138434815352427</v>
      </c>
      <c r="Q40" s="122">
        <f t="shared" si="11"/>
        <v>4.9832661211710795E-2</v>
      </c>
      <c r="R40" s="126">
        <f t="shared" si="12"/>
        <v>1.0726312727184386E-3</v>
      </c>
      <c r="S40" s="127">
        <f t="shared" si="13"/>
        <v>3.1285078787621125E-4</v>
      </c>
      <c r="T40" s="468">
        <v>80.25</v>
      </c>
      <c r="U40" s="473">
        <v>55.75</v>
      </c>
      <c r="V40" s="351">
        <v>1.2</v>
      </c>
      <c r="W40" s="386">
        <v>0.35</v>
      </c>
      <c r="X40" s="187">
        <v>0</v>
      </c>
      <c r="Y40" s="187">
        <v>0</v>
      </c>
      <c r="Z40" s="187">
        <v>5</v>
      </c>
      <c r="AA40" s="187">
        <v>7.5</v>
      </c>
      <c r="AB40" s="187">
        <v>9</v>
      </c>
      <c r="AC40" s="364">
        <v>1.1000000000000001</v>
      </c>
      <c r="AD40" s="120" t="s">
        <v>533</v>
      </c>
      <c r="AE40" s="352" t="s">
        <v>539</v>
      </c>
      <c r="AF40" s="352" t="s">
        <v>540</v>
      </c>
      <c r="AG40" s="352">
        <v>1.2</v>
      </c>
      <c r="AH40" s="352" t="s">
        <v>541</v>
      </c>
    </row>
    <row r="41" spans="1:34" ht="14.1" customHeight="1" x14ac:dyDescent="0.2">
      <c r="A41" s="297">
        <v>20</v>
      </c>
      <c r="B41" s="293" t="s">
        <v>74</v>
      </c>
      <c r="C41" s="45"/>
      <c r="D41" s="133">
        <f>Produksi!F47</f>
        <v>8</v>
      </c>
      <c r="E41" s="333">
        <f>Stok!L46</f>
        <v>0</v>
      </c>
      <c r="F41" s="134">
        <f>'Impor_Pangan Masuk'!F46</f>
        <v>0</v>
      </c>
      <c r="G41" s="134">
        <f>'Ekspor_Pangan Keluar'!F46</f>
        <v>0</v>
      </c>
      <c r="H41" s="134">
        <f t="shared" si="14"/>
        <v>8</v>
      </c>
      <c r="I41" s="134">
        <f>'Pemakaian Dalam Negeri'!E53</f>
        <v>0</v>
      </c>
      <c r="J41" s="134">
        <f>'Pemakaian Dalam Negeri'!F53</f>
        <v>0</v>
      </c>
      <c r="K41" s="134">
        <f>'Pemakaian Dalam Negeri'!G53</f>
        <v>0</v>
      </c>
      <c r="L41" s="134">
        <f>'Pemakaian Dalam Negeri'!H53</f>
        <v>8.8800000000000004E-2</v>
      </c>
      <c r="M41" s="134">
        <f>'Pemakaian Dalam Negeri'!I53</f>
        <v>0</v>
      </c>
      <c r="N41" s="134">
        <f>'Pemakaian Dalam Negeri'!J53</f>
        <v>7.9112</v>
      </c>
      <c r="O41" s="126">
        <f t="shared" si="3"/>
        <v>3.1886499667479494E-2</v>
      </c>
      <c r="P41" s="126">
        <f t="shared" si="1"/>
        <v>8.7360273061587654E-2</v>
      </c>
      <c r="Q41" s="122">
        <f t="shared" si="11"/>
        <v>3.6167153047497284E-2</v>
      </c>
      <c r="R41" s="126">
        <f t="shared" si="12"/>
        <v>4.7174547453257326E-4</v>
      </c>
      <c r="S41" s="127">
        <f t="shared" si="13"/>
        <v>1.5724849151085775E-4</v>
      </c>
      <c r="T41" s="466">
        <v>90</v>
      </c>
      <c r="U41" s="471">
        <v>46</v>
      </c>
      <c r="V41" s="381">
        <v>0.6</v>
      </c>
      <c r="W41" s="382">
        <v>0.2</v>
      </c>
      <c r="X41" s="187"/>
      <c r="Y41" s="187"/>
      <c r="Z41" s="187"/>
      <c r="AA41" s="187"/>
      <c r="AB41" s="187"/>
      <c r="AC41" s="364"/>
      <c r="AE41" s="351">
        <v>90</v>
      </c>
      <c r="AF41" s="351">
        <v>46</v>
      </c>
      <c r="AG41" s="351">
        <v>0.6</v>
      </c>
      <c r="AH41" s="351">
        <v>0.2</v>
      </c>
    </row>
    <row r="42" spans="1:34" ht="14.1" customHeight="1" x14ac:dyDescent="0.2">
      <c r="A42" s="297">
        <v>21</v>
      </c>
      <c r="B42" s="293" t="s">
        <v>75</v>
      </c>
      <c r="C42" s="45"/>
      <c r="D42" s="133">
        <f>Produksi!F48</f>
        <v>198.3</v>
      </c>
      <c r="E42" s="333">
        <f>Stok!L47</f>
        <v>0</v>
      </c>
      <c r="F42" s="134">
        <f>'Impor_Pangan Masuk'!F47</f>
        <v>86.070002377843025</v>
      </c>
      <c r="G42" s="134">
        <f>'Ekspor_Pangan Keluar'!F47</f>
        <v>0</v>
      </c>
      <c r="H42" s="134">
        <f t="shared" si="14"/>
        <v>284.37000237784304</v>
      </c>
      <c r="I42" s="134">
        <f>'Pemakaian Dalam Negeri'!E54</f>
        <v>0</v>
      </c>
      <c r="J42" s="134">
        <f>'Pemakaian Dalam Negeri'!F54</f>
        <v>0</v>
      </c>
      <c r="K42" s="134">
        <f>'Pemakaian Dalam Negeri'!G54</f>
        <v>0</v>
      </c>
      <c r="L42" s="134">
        <f>'Pemakaian Dalam Negeri'!H54</f>
        <v>3.156507026394058</v>
      </c>
      <c r="M42" s="134">
        <f>'Pemakaian Dalam Negeri'!I54</f>
        <v>0</v>
      </c>
      <c r="N42" s="134">
        <f>'Pemakaian Dalam Negeri'!J54</f>
        <v>281.21349535144896</v>
      </c>
      <c r="O42" s="126">
        <f t="shared" si="3"/>
        <v>1.1334454982827793</v>
      </c>
      <c r="P42" s="126">
        <f t="shared" si="1"/>
        <v>3.1053301322815869</v>
      </c>
      <c r="Q42" s="122">
        <f>P42/100*T42/100*U42</f>
        <v>1.3604451309525634</v>
      </c>
      <c r="R42" s="126">
        <f t="shared" si="12"/>
        <v>1.6349563146462558E-2</v>
      </c>
      <c r="S42" s="127">
        <f t="shared" si="13"/>
        <v>4.8443150063592752E-3</v>
      </c>
      <c r="T42" s="468">
        <v>65</v>
      </c>
      <c r="U42" s="473">
        <v>67.400000000000006</v>
      </c>
      <c r="V42" s="351">
        <v>0.81</v>
      </c>
      <c r="W42" s="386">
        <v>0.24</v>
      </c>
      <c r="X42" s="187">
        <v>1200</v>
      </c>
      <c r="Y42" s="187">
        <v>0.08</v>
      </c>
      <c r="Z42" s="187">
        <v>6</v>
      </c>
      <c r="AA42" s="187">
        <v>15</v>
      </c>
      <c r="AB42" s="187">
        <v>9</v>
      </c>
      <c r="AC42" s="364">
        <v>0.2</v>
      </c>
      <c r="AD42" s="120" t="s">
        <v>533</v>
      </c>
      <c r="AE42" s="352">
        <v>65</v>
      </c>
      <c r="AF42" s="352">
        <v>67.400000000000006</v>
      </c>
      <c r="AG42" s="352">
        <v>0.81</v>
      </c>
      <c r="AH42" s="352">
        <v>0.24</v>
      </c>
    </row>
    <row r="43" spans="1:34" ht="14.1" customHeight="1" x14ac:dyDescent="0.2">
      <c r="A43" s="297">
        <v>22</v>
      </c>
      <c r="B43" s="293" t="s">
        <v>76</v>
      </c>
      <c r="C43" s="45"/>
      <c r="D43" s="133">
        <f>Produksi!F49</f>
        <v>75.099999999999994</v>
      </c>
      <c r="E43" s="333">
        <f>Stok!L48</f>
        <v>0</v>
      </c>
      <c r="F43" s="134">
        <f>'Impor_Pangan Masuk'!F48</f>
        <v>0</v>
      </c>
      <c r="G43" s="134">
        <f>'Ekspor_Pangan Keluar'!F48</f>
        <v>0</v>
      </c>
      <c r="H43" s="134">
        <f t="shared" si="14"/>
        <v>75.099999999999994</v>
      </c>
      <c r="I43" s="134">
        <f>'Pemakaian Dalam Negeri'!E55</f>
        <v>0</v>
      </c>
      <c r="J43" s="134">
        <f>'Pemakaian Dalam Negeri'!F55</f>
        <v>0</v>
      </c>
      <c r="K43" s="134">
        <f>'Pemakaian Dalam Negeri'!G55</f>
        <v>0</v>
      </c>
      <c r="L43" s="134">
        <f>'Pemakaian Dalam Negeri'!H55</f>
        <v>0.83360999999999996</v>
      </c>
      <c r="M43" s="134">
        <f>'Pemakaian Dalam Negeri'!I55</f>
        <v>0</v>
      </c>
      <c r="N43" s="134">
        <f>'Pemakaian Dalam Negeri'!J55</f>
        <v>74.266390000000001</v>
      </c>
      <c r="O43" s="126">
        <f t="shared" si="3"/>
        <v>0.29933451562846375</v>
      </c>
      <c r="P43" s="126">
        <f t="shared" si="1"/>
        <v>0.82009456336565412</v>
      </c>
      <c r="Q43" s="122">
        <f t="shared" si="11"/>
        <v>0.21297855810606039</v>
      </c>
      <c r="R43" s="126">
        <f t="shared" si="12"/>
        <v>2.8252257707946787E-3</v>
      </c>
      <c r="S43" s="127">
        <f t="shared" si="13"/>
        <v>1.0866252964594919E-3</v>
      </c>
      <c r="T43" s="468">
        <v>53</v>
      </c>
      <c r="U43" s="473">
        <v>49</v>
      </c>
      <c r="V43" s="351">
        <v>0.65</v>
      </c>
      <c r="W43" s="386">
        <v>0.25</v>
      </c>
      <c r="X43" s="187">
        <v>130</v>
      </c>
      <c r="Y43" s="187">
        <v>0.08</v>
      </c>
      <c r="Z43" s="187">
        <v>24</v>
      </c>
      <c r="AA43" s="187">
        <v>16</v>
      </c>
      <c r="AB43" s="187">
        <v>11</v>
      </c>
      <c r="AC43" s="364">
        <v>0.3</v>
      </c>
      <c r="AD43" s="120" t="s">
        <v>533</v>
      </c>
      <c r="AE43" s="352">
        <v>53</v>
      </c>
      <c r="AF43" s="352">
        <v>49</v>
      </c>
      <c r="AG43" s="352">
        <v>0.65</v>
      </c>
      <c r="AH43" s="352">
        <v>0.25</v>
      </c>
    </row>
    <row r="44" spans="1:34" ht="14.1" customHeight="1" x14ac:dyDescent="0.2">
      <c r="A44" s="297">
        <v>23</v>
      </c>
      <c r="B44" s="293" t="s">
        <v>77</v>
      </c>
      <c r="C44" s="45"/>
      <c r="D44" s="133">
        <f>Produksi!F50</f>
        <v>557.79999999999995</v>
      </c>
      <c r="E44" s="333">
        <f>Stok!L49</f>
        <v>0</v>
      </c>
      <c r="F44" s="134">
        <f>'Impor_Pangan Masuk'!F49</f>
        <v>1162.9869798366312</v>
      </c>
      <c r="G44" s="134">
        <f>'Ekspor_Pangan Keluar'!F49</f>
        <v>0</v>
      </c>
      <c r="H44" s="134">
        <f t="shared" si="14"/>
        <v>1720.7869798366312</v>
      </c>
      <c r="I44" s="134">
        <f>'Pemakaian Dalam Negeri'!E56</f>
        <v>0</v>
      </c>
      <c r="J44" s="134">
        <f>'Pemakaian Dalam Negeri'!F56</f>
        <v>0</v>
      </c>
      <c r="K44" s="134">
        <f>'Pemakaian Dalam Negeri'!G56</f>
        <v>0</v>
      </c>
      <c r="L44" s="134">
        <f>'Pemakaian Dalam Negeri'!H56</f>
        <v>19.100735476186607</v>
      </c>
      <c r="M44" s="134">
        <f>'Pemakaian Dalam Negeri'!I56</f>
        <v>0</v>
      </c>
      <c r="N44" s="134">
        <f>'Pemakaian Dalam Negeri'!J56</f>
        <v>1701.6862443604446</v>
      </c>
      <c r="O44" s="126">
        <f t="shared" si="3"/>
        <v>6.8587341825454731</v>
      </c>
      <c r="P44" s="126">
        <f t="shared" si="1"/>
        <v>18.791052554919101</v>
      </c>
      <c r="Q44" s="122">
        <f t="shared" si="11"/>
        <v>4.8621848485853185</v>
      </c>
      <c r="R44" s="126">
        <f t="shared" si="12"/>
        <v>5.3554499781519445E-2</v>
      </c>
      <c r="S44" s="127">
        <f t="shared" si="13"/>
        <v>0</v>
      </c>
      <c r="T44" s="466">
        <v>75</v>
      </c>
      <c r="U44" s="471">
        <v>34.5</v>
      </c>
      <c r="V44" s="381">
        <v>0.38</v>
      </c>
      <c r="W44" s="382">
        <v>0</v>
      </c>
      <c r="X44" s="187">
        <v>365</v>
      </c>
      <c r="Y44" s="187">
        <v>0.04</v>
      </c>
      <c r="Z44" s="187">
        <v>78</v>
      </c>
      <c r="AA44" s="187">
        <v>23</v>
      </c>
      <c r="AB44" s="187">
        <v>12</v>
      </c>
      <c r="AC44" s="364">
        <v>1.7</v>
      </c>
      <c r="AE44" s="351">
        <v>75</v>
      </c>
      <c r="AF44" s="351">
        <v>46</v>
      </c>
      <c r="AG44" s="351">
        <v>0.5</v>
      </c>
      <c r="AH44" s="351">
        <v>0.1</v>
      </c>
    </row>
    <row r="45" spans="1:34" ht="14.1" customHeight="1" x14ac:dyDescent="0.2">
      <c r="A45" s="297">
        <v>24</v>
      </c>
      <c r="B45" s="293" t="s">
        <v>78</v>
      </c>
      <c r="C45" s="45"/>
      <c r="D45" s="133">
        <f>Produksi!F51</f>
        <v>488</v>
      </c>
      <c r="E45" s="333">
        <f>Stok!L50</f>
        <v>0</v>
      </c>
      <c r="F45" s="134">
        <f>'Impor_Pangan Masuk'!F50</f>
        <v>904.33954794552403</v>
      </c>
      <c r="G45" s="134">
        <f>'Ekspor_Pangan Keluar'!F50</f>
        <v>0</v>
      </c>
      <c r="H45" s="134">
        <f t="shared" si="14"/>
        <v>1392.3395479455239</v>
      </c>
      <c r="I45" s="134">
        <f>'Pemakaian Dalam Negeri'!E57</f>
        <v>0</v>
      </c>
      <c r="J45" s="134">
        <f>'Pemakaian Dalam Negeri'!F57</f>
        <v>0</v>
      </c>
      <c r="K45" s="134">
        <f>'Pemakaian Dalam Negeri'!G57</f>
        <v>0</v>
      </c>
      <c r="L45" s="134">
        <f>'Pemakaian Dalam Negeri'!H57</f>
        <v>15.454968982195316</v>
      </c>
      <c r="M45" s="134">
        <f>'Pemakaian Dalam Negeri'!I57</f>
        <v>0</v>
      </c>
      <c r="N45" s="134">
        <f>'Pemakaian Dalam Negeri'!J57</f>
        <v>1376.8845789633285</v>
      </c>
      <c r="O45" s="126">
        <f t="shared" si="3"/>
        <v>5.5496043165729372</v>
      </c>
      <c r="P45" s="126">
        <f t="shared" si="1"/>
        <v>15.204395387871061</v>
      </c>
      <c r="Q45" s="122">
        <f t="shared" si="11"/>
        <v>7.3437229723417232</v>
      </c>
      <c r="R45" s="126">
        <f t="shared" si="12"/>
        <v>7.9823075786323069E-2</v>
      </c>
      <c r="S45" s="127">
        <f t="shared" si="13"/>
        <v>2.3946922735896922E-2</v>
      </c>
      <c r="T45" s="466">
        <v>75</v>
      </c>
      <c r="U45" s="471">
        <v>64.400000000000006</v>
      </c>
      <c r="V45" s="381">
        <v>0.7</v>
      </c>
      <c r="W45" s="382">
        <v>0.21</v>
      </c>
      <c r="X45" s="187">
        <v>146</v>
      </c>
      <c r="Y45" s="187">
        <v>0.08</v>
      </c>
      <c r="Z45" s="187">
        <v>3</v>
      </c>
      <c r="AA45" s="187">
        <v>8</v>
      </c>
      <c r="AB45" s="187">
        <v>28</v>
      </c>
      <c r="AC45" s="364">
        <v>0.5</v>
      </c>
      <c r="AE45" s="351" t="s">
        <v>542</v>
      </c>
      <c r="AF45" s="351" t="s">
        <v>543</v>
      </c>
      <c r="AG45" s="351" t="s">
        <v>544</v>
      </c>
      <c r="AH45" s="351" t="s">
        <v>545</v>
      </c>
    </row>
    <row r="46" spans="1:34" ht="14.1" customHeight="1" x14ac:dyDescent="0.2">
      <c r="A46" s="297">
        <v>25</v>
      </c>
      <c r="B46" s="293" t="s">
        <v>79</v>
      </c>
      <c r="C46" s="45"/>
      <c r="D46" s="133">
        <f>Produksi!F52</f>
        <v>374</v>
      </c>
      <c r="E46" s="333">
        <f>Stok!L51</f>
        <v>0</v>
      </c>
      <c r="F46" s="134">
        <f>'Impor_Pangan Masuk'!F51</f>
        <v>0</v>
      </c>
      <c r="G46" s="134">
        <f>'Ekspor_Pangan Keluar'!F51</f>
        <v>0</v>
      </c>
      <c r="H46" s="134">
        <f t="shared" si="14"/>
        <v>374</v>
      </c>
      <c r="I46" s="134">
        <f>'Pemakaian Dalam Negeri'!E58</f>
        <v>0</v>
      </c>
      <c r="J46" s="134">
        <f>'Pemakaian Dalam Negeri'!F58</f>
        <v>0</v>
      </c>
      <c r="K46" s="134">
        <f>'Pemakaian Dalam Negeri'!G58</f>
        <v>0</v>
      </c>
      <c r="L46" s="134">
        <f>'Pemakaian Dalam Negeri'!H58</f>
        <v>4.1513999999999998</v>
      </c>
      <c r="M46" s="134">
        <f>'Pemakaian Dalam Negeri'!I58</f>
        <v>0</v>
      </c>
      <c r="N46" s="134">
        <f>'Pemakaian Dalam Negeri'!J58</f>
        <v>369.84859999999998</v>
      </c>
      <c r="O46" s="126">
        <f t="shared" si="3"/>
        <v>1.4906938594546661</v>
      </c>
      <c r="P46" s="126">
        <f t="shared" si="1"/>
        <v>4.0840927656292223</v>
      </c>
      <c r="Q46" s="122">
        <f t="shared" si="11"/>
        <v>0.45088384132546611</v>
      </c>
      <c r="R46" s="126">
        <f t="shared" si="12"/>
        <v>5.8810935825060785E-3</v>
      </c>
      <c r="S46" s="127">
        <f t="shared" si="13"/>
        <v>6.5345484250067549E-4</v>
      </c>
      <c r="T46" s="466">
        <v>40</v>
      </c>
      <c r="U46" s="471">
        <v>27.6</v>
      </c>
      <c r="V46" s="381">
        <v>0.36</v>
      </c>
      <c r="W46" s="382">
        <v>0.04</v>
      </c>
      <c r="X46" s="187">
        <v>0</v>
      </c>
      <c r="Y46" s="187">
        <v>0</v>
      </c>
      <c r="Z46" s="187">
        <v>58</v>
      </c>
      <c r="AA46" s="187">
        <v>16</v>
      </c>
      <c r="AB46" s="187">
        <v>16</v>
      </c>
      <c r="AC46" s="364">
        <v>0.5</v>
      </c>
      <c r="AE46" s="351">
        <v>40</v>
      </c>
      <c r="AF46" s="351">
        <v>69</v>
      </c>
      <c r="AG46" s="351">
        <v>0.9</v>
      </c>
      <c r="AH46" s="351">
        <v>0.1</v>
      </c>
    </row>
    <row r="47" spans="1:34" ht="14.1" customHeight="1" x14ac:dyDescent="0.2">
      <c r="A47" s="297">
        <v>26</v>
      </c>
      <c r="B47" s="293" t="s">
        <v>80</v>
      </c>
      <c r="C47" s="45"/>
      <c r="D47" s="133">
        <f>Produksi!F53</f>
        <v>48.6</v>
      </c>
      <c r="E47" s="333">
        <f>Stok!L52</f>
        <v>0</v>
      </c>
      <c r="F47" s="134">
        <f>'Impor_Pangan Masuk'!F52</f>
        <v>883.46330359921456</v>
      </c>
      <c r="G47" s="134">
        <f>'Ekspor_Pangan Keluar'!F52</f>
        <v>0</v>
      </c>
      <c r="H47" s="134">
        <f t="shared" si="14"/>
        <v>932.06330359921458</v>
      </c>
      <c r="I47" s="134">
        <f>'Pemakaian Dalam Negeri'!E59</f>
        <v>0</v>
      </c>
      <c r="J47" s="134">
        <f>'Pemakaian Dalam Negeri'!F59</f>
        <v>0</v>
      </c>
      <c r="K47" s="134">
        <f>'Pemakaian Dalam Negeri'!G59</f>
        <v>0</v>
      </c>
      <c r="L47" s="134">
        <f>'Pemakaian Dalam Negeri'!H59</f>
        <v>10.345902669951283</v>
      </c>
      <c r="M47" s="134">
        <f>'Pemakaian Dalam Negeri'!I59</f>
        <v>0</v>
      </c>
      <c r="N47" s="134">
        <f>'Pemakaian Dalam Negeri'!J59</f>
        <v>921.71740092926325</v>
      </c>
      <c r="O47" s="126">
        <f t="shared" si="3"/>
        <v>3.7150295275357741</v>
      </c>
      <c r="P47" s="126">
        <f t="shared" si="1"/>
        <v>10.178163089139106</v>
      </c>
      <c r="Q47" s="122">
        <f t="shared" si="11"/>
        <v>5.9343779891225559</v>
      </c>
      <c r="R47" s="126">
        <f t="shared" si="12"/>
        <v>4.5582903394709495E-2</v>
      </c>
      <c r="S47" s="127">
        <f t="shared" si="13"/>
        <v>1.548098605858058E-2</v>
      </c>
      <c r="T47" s="468">
        <v>84.5</v>
      </c>
      <c r="U47" s="473">
        <v>69</v>
      </c>
      <c r="V47" s="351">
        <v>0.53</v>
      </c>
      <c r="W47" s="386">
        <v>0.18</v>
      </c>
      <c r="X47" s="187">
        <v>0</v>
      </c>
      <c r="Y47" s="187">
        <v>0.04</v>
      </c>
      <c r="Z47" s="187">
        <v>2</v>
      </c>
      <c r="AA47" s="187">
        <v>28</v>
      </c>
      <c r="AB47" s="187">
        <v>18</v>
      </c>
      <c r="AC47" s="364">
        <v>4.2</v>
      </c>
      <c r="AD47" s="120" t="s">
        <v>533</v>
      </c>
      <c r="AE47" s="352">
        <v>84.5</v>
      </c>
      <c r="AF47" s="352">
        <v>69</v>
      </c>
      <c r="AG47" s="352">
        <v>0.53</v>
      </c>
      <c r="AH47" s="352">
        <v>0.18</v>
      </c>
    </row>
    <row r="48" spans="1:34" ht="14.1" customHeight="1" x14ac:dyDescent="0.2">
      <c r="A48" s="297">
        <v>27</v>
      </c>
      <c r="B48" s="293" t="s">
        <v>81</v>
      </c>
      <c r="C48" s="45"/>
      <c r="D48" s="133">
        <f>Produksi!F54</f>
        <v>10.6</v>
      </c>
      <c r="E48" s="333">
        <f>Stok!L53</f>
        <v>0</v>
      </c>
      <c r="F48" s="134">
        <f>'Impor_Pangan Masuk'!F53</f>
        <v>0</v>
      </c>
      <c r="G48" s="134">
        <f>'Ekspor_Pangan Keluar'!F53</f>
        <v>0</v>
      </c>
      <c r="H48" s="134">
        <f t="shared" si="14"/>
        <v>10.6</v>
      </c>
      <c r="I48" s="134">
        <f>'Pemakaian Dalam Negeri'!E60</f>
        <v>0</v>
      </c>
      <c r="J48" s="134">
        <f>'Pemakaian Dalam Negeri'!F60</f>
        <v>0</v>
      </c>
      <c r="K48" s="134">
        <f>'Pemakaian Dalam Negeri'!G60</f>
        <v>0</v>
      </c>
      <c r="L48" s="134">
        <f>'Pemakaian Dalam Negeri'!H60</f>
        <v>0.11766</v>
      </c>
      <c r="M48" s="134">
        <f>'Pemakaian Dalam Negeri'!I60</f>
        <v>0</v>
      </c>
      <c r="N48" s="134">
        <f>'Pemakaian Dalam Negeri'!J60</f>
        <v>10.482339999999999</v>
      </c>
      <c r="O48" s="126">
        <f t="shared" si="3"/>
        <v>4.2249612059410323E-2</v>
      </c>
      <c r="P48" s="126">
        <f t="shared" si="1"/>
        <v>0.11575236180660363</v>
      </c>
      <c r="Q48" s="122">
        <f t="shared" si="11"/>
        <v>7.7604666192533908E-2</v>
      </c>
      <c r="R48" s="126">
        <f t="shared" si="12"/>
        <v>6.9757003319131613E-4</v>
      </c>
      <c r="S48" s="127">
        <f t="shared" si="13"/>
        <v>1.8921587150314448E-3</v>
      </c>
      <c r="T48" s="468">
        <v>75.33</v>
      </c>
      <c r="U48" s="473">
        <v>89</v>
      </c>
      <c r="V48" s="351">
        <v>0.8</v>
      </c>
      <c r="W48" s="386">
        <v>2.17</v>
      </c>
      <c r="X48" s="187">
        <v>60</v>
      </c>
      <c r="Y48" s="187">
        <v>0.01</v>
      </c>
      <c r="Z48" s="187">
        <v>21</v>
      </c>
      <c r="AA48" s="187">
        <v>25</v>
      </c>
      <c r="AB48" s="187">
        <v>12</v>
      </c>
      <c r="AC48" s="364">
        <v>1</v>
      </c>
      <c r="AD48" s="120" t="s">
        <v>533</v>
      </c>
      <c r="AE48" s="352" t="s">
        <v>546</v>
      </c>
      <c r="AF48" s="352" t="s">
        <v>547</v>
      </c>
      <c r="AG48" s="352" t="s">
        <v>548</v>
      </c>
      <c r="AH48" s="352" t="s">
        <v>549</v>
      </c>
    </row>
    <row r="49" spans="1:34" ht="14.1" customHeight="1" x14ac:dyDescent="0.2">
      <c r="A49" s="297">
        <v>28</v>
      </c>
      <c r="B49" s="293" t="s">
        <v>4</v>
      </c>
      <c r="C49" s="45"/>
      <c r="D49" s="133">
        <f>Produksi!F55</f>
        <v>88.4</v>
      </c>
      <c r="E49" s="333">
        <f>Stok!L54</f>
        <v>0</v>
      </c>
      <c r="F49" s="134">
        <f>'Impor_Pangan Masuk'!F54</f>
        <v>0</v>
      </c>
      <c r="G49" s="134">
        <f>'Ekspor_Pangan Keluar'!F54</f>
        <v>0</v>
      </c>
      <c r="H49" s="134">
        <f t="shared" si="14"/>
        <v>88.4</v>
      </c>
      <c r="I49" s="134">
        <f>'Pemakaian Dalam Negeri'!E61</f>
        <v>0</v>
      </c>
      <c r="J49" s="134">
        <f>'Pemakaian Dalam Negeri'!F61</f>
        <v>0</v>
      </c>
      <c r="K49" s="134">
        <f>'Pemakaian Dalam Negeri'!G61</f>
        <v>0</v>
      </c>
      <c r="L49" s="134">
        <f>'Pemakaian Dalam Negeri'!H61</f>
        <v>0.98124000000000011</v>
      </c>
      <c r="M49" s="134">
        <f>'Pemakaian Dalam Negeri'!I61</f>
        <v>0</v>
      </c>
      <c r="N49" s="134">
        <f>'Pemakaian Dalam Negeri'!J61</f>
        <v>87.418760000000006</v>
      </c>
      <c r="O49" s="126">
        <f t="shared" si="3"/>
        <v>0.35234582132564846</v>
      </c>
      <c r="P49" s="126">
        <f t="shared" si="1"/>
        <v>0.96533101733054372</v>
      </c>
      <c r="Q49" s="122">
        <f t="shared" si="11"/>
        <v>0.20716003631913468</v>
      </c>
      <c r="R49" s="126">
        <f t="shared" si="12"/>
        <v>3.3593519403102923E-3</v>
      </c>
      <c r="S49" s="127">
        <f t="shared" si="13"/>
        <v>2.2395679602068615E-3</v>
      </c>
      <c r="T49" s="467">
        <v>58</v>
      </c>
      <c r="U49" s="472">
        <v>37</v>
      </c>
      <c r="V49" s="383">
        <v>0.6</v>
      </c>
      <c r="W49" s="384">
        <v>0.4</v>
      </c>
      <c r="X49" s="187"/>
      <c r="Y49" s="187"/>
      <c r="Z49" s="187"/>
      <c r="AA49" s="187"/>
      <c r="AB49" s="187"/>
      <c r="AC49" s="364"/>
      <c r="AE49" s="351">
        <v>58.1</v>
      </c>
      <c r="AF49" s="351">
        <v>37</v>
      </c>
      <c r="AG49" s="351">
        <v>0.6</v>
      </c>
      <c r="AH49" s="351">
        <v>0.4</v>
      </c>
    </row>
    <row r="50" spans="1:34" ht="14.1" customHeight="1" x14ac:dyDescent="0.2">
      <c r="A50" s="297">
        <v>29</v>
      </c>
      <c r="B50" s="293" t="s">
        <v>82</v>
      </c>
      <c r="C50" s="45"/>
      <c r="D50" s="133">
        <f>Produksi!F56</f>
        <v>1166.8</v>
      </c>
      <c r="E50" s="333">
        <f>Stok!L55</f>
        <v>0</v>
      </c>
      <c r="F50" s="134">
        <f>'Impor_Pangan Masuk'!F55</f>
        <v>585.77853868544048</v>
      </c>
      <c r="G50" s="134">
        <f>'Ekspor_Pangan Keluar'!F55</f>
        <v>0</v>
      </c>
      <c r="H50" s="134">
        <f t="shared" si="14"/>
        <v>1752.5785386854404</v>
      </c>
      <c r="I50" s="134">
        <f>'Pemakaian Dalam Negeri'!E62</f>
        <v>0</v>
      </c>
      <c r="J50" s="134">
        <f>'Pemakaian Dalam Negeri'!F62</f>
        <v>0</v>
      </c>
      <c r="K50" s="134">
        <f>'Pemakaian Dalam Negeri'!G62</f>
        <v>0</v>
      </c>
      <c r="L50" s="134">
        <f>'Pemakaian Dalam Negeri'!H62</f>
        <v>19.45362177940839</v>
      </c>
      <c r="M50" s="134">
        <f>'Pemakaian Dalam Negeri'!I62</f>
        <v>0</v>
      </c>
      <c r="N50" s="134">
        <f>'Pemakaian Dalam Negeri'!J62</f>
        <v>1733.124916906032</v>
      </c>
      <c r="O50" s="126">
        <f t="shared" si="3"/>
        <v>6.985449373878124</v>
      </c>
      <c r="P50" s="126">
        <f t="shared" si="1"/>
        <v>19.138217462679794</v>
      </c>
      <c r="Q50" s="122">
        <f t="shared" si="11"/>
        <v>1.1339011082288526</v>
      </c>
      <c r="R50" s="126">
        <f t="shared" si="12"/>
        <v>2.0248234075515223E-2</v>
      </c>
      <c r="S50" s="127">
        <f t="shared" si="13"/>
        <v>7.9232220295494347E-3</v>
      </c>
      <c r="T50" s="467">
        <v>46</v>
      </c>
      <c r="U50" s="472">
        <v>12.88</v>
      </c>
      <c r="V50" s="383">
        <v>0.23</v>
      </c>
      <c r="W50" s="384">
        <v>0.09</v>
      </c>
      <c r="X50" s="187"/>
      <c r="Y50" s="187"/>
      <c r="Z50" s="187"/>
      <c r="AA50" s="187"/>
      <c r="AB50" s="187"/>
      <c r="AC50" s="364"/>
      <c r="AE50" s="351">
        <v>46</v>
      </c>
      <c r="AF50" s="351">
        <v>28</v>
      </c>
      <c r="AG50" s="351">
        <v>0.5</v>
      </c>
      <c r="AH50" s="351">
        <v>0.2</v>
      </c>
    </row>
    <row r="51" spans="1:34" ht="14.1" customHeight="1" x14ac:dyDescent="0.2">
      <c r="A51" s="297">
        <v>30</v>
      </c>
      <c r="B51" s="293" t="s">
        <v>83</v>
      </c>
      <c r="C51" s="45"/>
      <c r="D51" s="133">
        <f>Produksi!F57</f>
        <v>0.8</v>
      </c>
      <c r="E51" s="333">
        <f>Stok!L56</f>
        <v>0</v>
      </c>
      <c r="F51" s="134">
        <f>'Impor_Pangan Masuk'!F56</f>
        <v>0</v>
      </c>
      <c r="G51" s="134">
        <f>'Ekspor_Pangan Keluar'!F56</f>
        <v>0</v>
      </c>
      <c r="H51" s="134">
        <f t="shared" si="14"/>
        <v>0.8</v>
      </c>
      <c r="I51" s="134">
        <f>'Pemakaian Dalam Negeri'!E63</f>
        <v>0</v>
      </c>
      <c r="J51" s="134">
        <f>'Pemakaian Dalam Negeri'!F63</f>
        <v>0</v>
      </c>
      <c r="K51" s="134">
        <f>'Pemakaian Dalam Negeri'!G63</f>
        <v>0</v>
      </c>
      <c r="L51" s="134">
        <f>'Pemakaian Dalam Negeri'!H63</f>
        <v>8.8800000000000007E-3</v>
      </c>
      <c r="M51" s="134">
        <f>'Pemakaian Dalam Negeri'!I63</f>
        <v>0</v>
      </c>
      <c r="N51" s="134">
        <f>'Pemakaian Dalam Negeri'!J63</f>
        <v>0.79112000000000005</v>
      </c>
      <c r="O51" s="126">
        <f t="shared" si="3"/>
        <v>3.1886499667479495E-3</v>
      </c>
      <c r="P51" s="126">
        <f t="shared" si="1"/>
        <v>8.7360273061587654E-3</v>
      </c>
      <c r="Q51" s="122">
        <f t="shared" si="11"/>
        <v>2.3260196864286083E-3</v>
      </c>
      <c r="R51" s="126">
        <f t="shared" si="12"/>
        <v>2.554414384320823E-5</v>
      </c>
      <c r="S51" s="127">
        <f t="shared" si="13"/>
        <v>2.554414384320823E-5</v>
      </c>
      <c r="T51" s="467">
        <v>86</v>
      </c>
      <c r="U51" s="472">
        <v>30.96</v>
      </c>
      <c r="V51" s="383">
        <v>0.34</v>
      </c>
      <c r="W51" s="384">
        <v>0.34</v>
      </c>
      <c r="X51" s="187"/>
      <c r="Y51" s="187"/>
      <c r="Z51" s="187"/>
      <c r="AA51" s="187"/>
      <c r="AB51" s="187"/>
      <c r="AC51" s="364"/>
      <c r="AE51" s="351">
        <v>86</v>
      </c>
      <c r="AF51" s="351">
        <v>36</v>
      </c>
      <c r="AG51" s="351">
        <v>0.4</v>
      </c>
      <c r="AH51" s="351">
        <v>0.4</v>
      </c>
    </row>
    <row r="52" spans="1:34" ht="14.1" customHeight="1" x14ac:dyDescent="0.2">
      <c r="A52" s="297">
        <v>31</v>
      </c>
      <c r="B52" s="293" t="s">
        <v>84</v>
      </c>
      <c r="C52" s="45"/>
      <c r="D52" s="133">
        <f>Produksi!F58</f>
        <v>398.5</v>
      </c>
      <c r="E52" s="333">
        <f>Stok!L57</f>
        <v>0</v>
      </c>
      <c r="F52" s="134">
        <f>'Impor_Pangan Masuk'!F57</f>
        <v>0</v>
      </c>
      <c r="G52" s="134">
        <f>'Ekspor_Pangan Keluar'!F57</f>
        <v>0</v>
      </c>
      <c r="H52" s="134">
        <f t="shared" si="14"/>
        <v>398.5</v>
      </c>
      <c r="I52" s="134">
        <f>'Pemakaian Dalam Negeri'!E64</f>
        <v>0</v>
      </c>
      <c r="J52" s="134">
        <f>'Pemakaian Dalam Negeri'!F64</f>
        <v>0</v>
      </c>
      <c r="K52" s="134">
        <f>'Pemakaian Dalam Negeri'!G64</f>
        <v>0</v>
      </c>
      <c r="L52" s="134">
        <f>'Pemakaian Dalam Negeri'!H64</f>
        <v>4.4233500000000001</v>
      </c>
      <c r="M52" s="134">
        <f>'Pemakaian Dalam Negeri'!I64</f>
        <v>0</v>
      </c>
      <c r="N52" s="134">
        <f>'Pemakaian Dalam Negeri'!J64</f>
        <v>394.07664999999997</v>
      </c>
      <c r="O52" s="126">
        <f t="shared" si="3"/>
        <v>1.5883462646863222</v>
      </c>
      <c r="P52" s="126">
        <f t="shared" si="1"/>
        <v>4.3516336018803354</v>
      </c>
      <c r="Q52" s="122">
        <f t="shared" si="11"/>
        <v>0.79504345906353735</v>
      </c>
      <c r="R52" s="126">
        <f t="shared" si="12"/>
        <v>7.5718424672717843E-3</v>
      </c>
      <c r="S52" s="127">
        <f t="shared" si="13"/>
        <v>7.5718424672717843E-3</v>
      </c>
      <c r="T52" s="467">
        <v>29</v>
      </c>
      <c r="U52" s="472">
        <v>63</v>
      </c>
      <c r="V52" s="383">
        <v>0.6</v>
      </c>
      <c r="W52" s="384">
        <v>0.6</v>
      </c>
      <c r="X52" s="187"/>
      <c r="Y52" s="187"/>
      <c r="Z52" s="187"/>
      <c r="AA52" s="187"/>
      <c r="AB52" s="187"/>
      <c r="AC52" s="364"/>
      <c r="AE52" s="351">
        <v>29</v>
      </c>
      <c r="AF52" s="351">
        <v>63</v>
      </c>
      <c r="AG52" s="351">
        <v>0.6</v>
      </c>
      <c r="AH52" s="351">
        <v>0.6</v>
      </c>
    </row>
    <row r="53" spans="1:34" ht="14.1" customHeight="1" x14ac:dyDescent="0.2">
      <c r="A53" s="297">
        <v>32</v>
      </c>
      <c r="B53" s="293" t="s">
        <v>85</v>
      </c>
      <c r="C53" s="45"/>
      <c r="D53" s="133">
        <f>Produksi!F59</f>
        <v>632.70000000000005</v>
      </c>
      <c r="E53" s="333">
        <f>Stok!L58</f>
        <v>0</v>
      </c>
      <c r="F53" s="134">
        <f>'Impor_Pangan Masuk'!F58</f>
        <v>0</v>
      </c>
      <c r="G53" s="134">
        <f>'Ekspor_Pangan Keluar'!F58</f>
        <v>0</v>
      </c>
      <c r="H53" s="134">
        <f t="shared" si="14"/>
        <v>632.70000000000005</v>
      </c>
      <c r="I53" s="134">
        <f>'Pemakaian Dalam Negeri'!E65</f>
        <v>0</v>
      </c>
      <c r="J53" s="134">
        <f>'Pemakaian Dalam Negeri'!F65</f>
        <v>0</v>
      </c>
      <c r="K53" s="134">
        <f>'Pemakaian Dalam Negeri'!G65</f>
        <v>0</v>
      </c>
      <c r="L53" s="134">
        <f>'Pemakaian Dalam Negeri'!H65</f>
        <v>7.0229700000000008</v>
      </c>
      <c r="M53" s="134">
        <f>'Pemakaian Dalam Negeri'!I65</f>
        <v>0</v>
      </c>
      <c r="N53" s="134">
        <f>'Pemakaian Dalam Negeri'!J65</f>
        <v>625.67703000000006</v>
      </c>
      <c r="O53" s="126">
        <f t="shared" si="3"/>
        <v>2.5218235424517847</v>
      </c>
      <c r="P53" s="126">
        <f t="shared" si="1"/>
        <v>6.909105595758315</v>
      </c>
      <c r="Q53" s="122">
        <f t="shared" si="11"/>
        <v>0.57417431142989905</v>
      </c>
      <c r="R53" s="126">
        <f t="shared" si="12"/>
        <v>6.5774685271619169E-3</v>
      </c>
      <c r="S53" s="127">
        <f t="shared" si="13"/>
        <v>1.5476396534498628E-3</v>
      </c>
      <c r="T53" s="467">
        <v>28</v>
      </c>
      <c r="U53" s="472">
        <v>29.68</v>
      </c>
      <c r="V53" s="383">
        <v>0.34</v>
      </c>
      <c r="W53" s="384">
        <v>0.08</v>
      </c>
      <c r="X53" s="187"/>
      <c r="Y53" s="187"/>
      <c r="Z53" s="187"/>
      <c r="AA53" s="187"/>
      <c r="AB53" s="187"/>
      <c r="AC53" s="364"/>
      <c r="AE53" s="351">
        <v>28</v>
      </c>
      <c r="AF53" s="351">
        <v>106</v>
      </c>
      <c r="AG53" s="351">
        <v>1.2</v>
      </c>
      <c r="AH53" s="351">
        <v>0.3</v>
      </c>
    </row>
    <row r="54" spans="1:34" s="163" customFormat="1" x14ac:dyDescent="0.2">
      <c r="A54" s="297">
        <v>33</v>
      </c>
      <c r="B54" s="293" t="s">
        <v>86</v>
      </c>
      <c r="C54" s="45"/>
      <c r="D54" s="133">
        <f>Produksi!F60</f>
        <v>0</v>
      </c>
      <c r="E54" s="333">
        <f>Stok!L59</f>
        <v>0</v>
      </c>
      <c r="F54" s="134">
        <f>'Impor_Pangan Masuk'!F59</f>
        <v>0</v>
      </c>
      <c r="G54" s="134">
        <f>'Ekspor_Pangan Keluar'!F59</f>
        <v>0</v>
      </c>
      <c r="H54" s="134">
        <f t="shared" si="14"/>
        <v>0</v>
      </c>
      <c r="I54" s="134">
        <f>'Pemakaian Dalam Negeri'!E66</f>
        <v>0</v>
      </c>
      <c r="J54" s="134">
        <f>'Pemakaian Dalam Negeri'!F66</f>
        <v>0</v>
      </c>
      <c r="K54" s="134">
        <f>'Pemakaian Dalam Negeri'!G66</f>
        <v>0</v>
      </c>
      <c r="L54" s="134">
        <f>'Pemakaian Dalam Negeri'!H66</f>
        <v>0</v>
      </c>
      <c r="M54" s="134">
        <f>'Pemakaian Dalam Negeri'!I66</f>
        <v>0</v>
      </c>
      <c r="N54" s="134">
        <f>'Pemakaian Dalam Negeri'!J66</f>
        <v>0</v>
      </c>
      <c r="O54" s="126">
        <f t="shared" si="3"/>
        <v>0</v>
      </c>
      <c r="P54" s="126">
        <f t="shared" si="1"/>
        <v>0</v>
      </c>
      <c r="Q54" s="122">
        <f t="shared" si="11"/>
        <v>0</v>
      </c>
      <c r="R54" s="126">
        <f t="shared" si="12"/>
        <v>0</v>
      </c>
      <c r="S54" s="127">
        <f t="shared" si="13"/>
        <v>0</v>
      </c>
      <c r="T54" s="467">
        <v>48</v>
      </c>
      <c r="U54" s="472">
        <v>144</v>
      </c>
      <c r="V54" s="383">
        <v>3.5</v>
      </c>
      <c r="W54" s="384">
        <v>1.2</v>
      </c>
      <c r="X54" s="187"/>
      <c r="Y54" s="187"/>
      <c r="Z54" s="187"/>
      <c r="AA54" s="187"/>
      <c r="AB54" s="187"/>
      <c r="AC54" s="364"/>
      <c r="AE54" s="351">
        <v>48</v>
      </c>
      <c r="AF54" s="351">
        <v>144</v>
      </c>
      <c r="AG54" s="351">
        <v>3.5</v>
      </c>
      <c r="AH54" s="351">
        <v>1.2</v>
      </c>
    </row>
    <row r="55" spans="1:34" s="163" customFormat="1" x14ac:dyDescent="0.2">
      <c r="A55" s="297">
        <v>34</v>
      </c>
      <c r="B55" s="293" t="s">
        <v>87</v>
      </c>
      <c r="C55" s="45"/>
      <c r="D55" s="133">
        <f>Produksi!F61</f>
        <v>6.9</v>
      </c>
      <c r="E55" s="333">
        <f>Stok!L60</f>
        <v>0</v>
      </c>
      <c r="F55" s="134">
        <f>'Impor_Pangan Masuk'!F60</f>
        <v>0</v>
      </c>
      <c r="G55" s="134">
        <f>'Ekspor_Pangan Keluar'!F60</f>
        <v>0</v>
      </c>
      <c r="H55" s="134">
        <f t="shared" si="14"/>
        <v>6.9</v>
      </c>
      <c r="I55" s="134">
        <f>'Pemakaian Dalam Negeri'!E67</f>
        <v>0</v>
      </c>
      <c r="J55" s="134">
        <f>'Pemakaian Dalam Negeri'!F67</f>
        <v>0</v>
      </c>
      <c r="K55" s="134">
        <f>'Pemakaian Dalam Negeri'!G67</f>
        <v>0</v>
      </c>
      <c r="L55" s="134">
        <f>'Pemakaian Dalam Negeri'!H67</f>
        <v>7.6590000000000005E-2</v>
      </c>
      <c r="M55" s="134">
        <f>'Pemakaian Dalam Negeri'!I67</f>
        <v>0</v>
      </c>
      <c r="N55" s="134">
        <f>'Pemakaian Dalam Negeri'!J67</f>
        <v>6.82341</v>
      </c>
      <c r="O55" s="126">
        <f t="shared" si="3"/>
        <v>2.7502105963201066E-2</v>
      </c>
      <c r="P55" s="126">
        <f t="shared" si="1"/>
        <v>7.5348235515619366E-2</v>
      </c>
      <c r="Q55" s="122">
        <f t="shared" si="11"/>
        <v>3.3303920097903762E-2</v>
      </c>
      <c r="R55" s="126">
        <f t="shared" si="12"/>
        <v>5.1236800150621174E-4</v>
      </c>
      <c r="S55" s="127">
        <f t="shared" si="13"/>
        <v>1.5371040045186353E-4</v>
      </c>
      <c r="T55" s="467">
        <v>68</v>
      </c>
      <c r="U55" s="472">
        <v>65</v>
      </c>
      <c r="V55" s="383">
        <v>1</v>
      </c>
      <c r="W55" s="384">
        <v>0.3</v>
      </c>
      <c r="X55" s="187"/>
      <c r="Y55" s="187"/>
      <c r="Z55" s="187"/>
      <c r="AA55" s="187"/>
      <c r="AB55" s="187"/>
      <c r="AC55" s="364"/>
      <c r="AE55" s="351">
        <v>68</v>
      </c>
      <c r="AF55" s="351">
        <v>65</v>
      </c>
      <c r="AG55" s="351">
        <v>1</v>
      </c>
      <c r="AH55" s="351">
        <v>0.3</v>
      </c>
    </row>
    <row r="56" spans="1:34" ht="14.1" customHeight="1" x14ac:dyDescent="0.2">
      <c r="A56" s="297">
        <v>35</v>
      </c>
      <c r="B56" s="293" t="s">
        <v>88</v>
      </c>
      <c r="C56" s="45"/>
      <c r="D56" s="133">
        <f>Produksi!F62</f>
        <v>38.6</v>
      </c>
      <c r="E56" s="333">
        <f>Stok!L61</f>
        <v>0</v>
      </c>
      <c r="F56" s="134">
        <f>'Impor_Pangan Masuk'!F61</f>
        <v>0</v>
      </c>
      <c r="G56" s="134">
        <f>'Ekspor_Pangan Keluar'!F61</f>
        <v>0</v>
      </c>
      <c r="H56" s="134">
        <f t="shared" si="14"/>
        <v>38.6</v>
      </c>
      <c r="I56" s="134">
        <f>'Pemakaian Dalam Negeri'!E68</f>
        <v>0</v>
      </c>
      <c r="J56" s="134">
        <f>'Pemakaian Dalam Negeri'!F68</f>
        <v>0</v>
      </c>
      <c r="K56" s="134">
        <f>'Pemakaian Dalam Negeri'!G68</f>
        <v>0</v>
      </c>
      <c r="L56" s="134">
        <f>'Pemakaian Dalam Negeri'!H68</f>
        <v>0.42846000000000001</v>
      </c>
      <c r="M56" s="134">
        <f>'Pemakaian Dalam Negeri'!I68</f>
        <v>0</v>
      </c>
      <c r="N56" s="134">
        <f>'Pemakaian Dalam Negeri'!J68</f>
        <v>38.17154</v>
      </c>
      <c r="O56" s="126">
        <f t="shared" si="3"/>
        <v>0.15385236089558857</v>
      </c>
      <c r="P56" s="126">
        <f t="shared" si="1"/>
        <v>0.42151331752216048</v>
      </c>
      <c r="Q56" s="122">
        <f t="shared" si="11"/>
        <v>0.45624601488598648</v>
      </c>
      <c r="R56" s="126">
        <f t="shared" si="12"/>
        <v>5.5639757912925181E-3</v>
      </c>
      <c r="S56" s="127">
        <f t="shared" si="13"/>
        <v>7.4186343883900251E-4</v>
      </c>
      <c r="T56" s="467">
        <v>88</v>
      </c>
      <c r="U56" s="472">
        <v>123</v>
      </c>
      <c r="V56" s="383">
        <v>1.5</v>
      </c>
      <c r="W56" s="384">
        <v>0.2</v>
      </c>
      <c r="X56" s="187"/>
      <c r="Y56" s="187"/>
      <c r="Z56" s="187"/>
      <c r="AA56" s="187"/>
      <c r="AB56" s="187"/>
      <c r="AC56" s="364"/>
      <c r="AE56" s="351">
        <v>86</v>
      </c>
      <c r="AF56" s="351" t="s">
        <v>550</v>
      </c>
      <c r="AG56" s="351" t="s">
        <v>551</v>
      </c>
      <c r="AH56" s="351" t="s">
        <v>552</v>
      </c>
    </row>
    <row r="57" spans="1:34" ht="14.1" customHeight="1" x14ac:dyDescent="0.2">
      <c r="A57" s="297">
        <v>36</v>
      </c>
      <c r="B57" s="293" t="s">
        <v>89</v>
      </c>
      <c r="C57" s="45"/>
      <c r="D57" s="133">
        <f>Produksi!F63</f>
        <v>0</v>
      </c>
      <c r="E57" s="333">
        <f>Stok!L62</f>
        <v>0</v>
      </c>
      <c r="F57" s="134">
        <f>'Impor_Pangan Masuk'!F62</f>
        <v>183.23814768044039</v>
      </c>
      <c r="G57" s="134">
        <f>'Ekspor_Pangan Keluar'!F62</f>
        <v>0</v>
      </c>
      <c r="H57" s="134">
        <f t="shared" si="14"/>
        <v>183.23814768044039</v>
      </c>
      <c r="I57" s="134">
        <f>'Pemakaian Dalam Negeri'!E69</f>
        <v>0</v>
      </c>
      <c r="J57" s="134">
        <f>'Pemakaian Dalam Negeri'!F69</f>
        <v>0</v>
      </c>
      <c r="K57" s="134">
        <f>'Pemakaian Dalam Negeri'!G69</f>
        <v>0</v>
      </c>
      <c r="L57" s="134">
        <f>'Pemakaian Dalam Negeri'!H69</f>
        <v>2.0339434392528886</v>
      </c>
      <c r="M57" s="134">
        <f>'Pemakaian Dalam Negeri'!I69</f>
        <v>0</v>
      </c>
      <c r="N57" s="134">
        <f>'Pemakaian Dalam Negeri'!J69</f>
        <v>181.20420424118751</v>
      </c>
      <c r="O57" s="126">
        <f t="shared" si="3"/>
        <v>0.73035289188524011</v>
      </c>
      <c r="P57" s="126">
        <f t="shared" si="1"/>
        <v>2.0009668270828493</v>
      </c>
      <c r="Q57" s="122">
        <f t="shared" si="11"/>
        <v>1.0124892145039217</v>
      </c>
      <c r="R57" s="126">
        <f t="shared" si="12"/>
        <v>7.0434032313316302E-3</v>
      </c>
      <c r="S57" s="127">
        <f t="shared" si="13"/>
        <v>7.0434032313316302E-3</v>
      </c>
      <c r="T57" s="468">
        <v>88</v>
      </c>
      <c r="U57" s="473">
        <v>57.5</v>
      </c>
      <c r="V57" s="351">
        <v>0.4</v>
      </c>
      <c r="W57" s="386">
        <v>0.4</v>
      </c>
      <c r="X57" s="187"/>
      <c r="Y57" s="187"/>
      <c r="Z57" s="187"/>
      <c r="AA57" s="187"/>
      <c r="AB57" s="187"/>
      <c r="AC57" s="364"/>
      <c r="AD57" s="120" t="s">
        <v>533</v>
      </c>
      <c r="AE57" s="352">
        <v>88</v>
      </c>
      <c r="AF57" s="352" t="s">
        <v>553</v>
      </c>
      <c r="AG57" s="352" t="s">
        <v>554</v>
      </c>
      <c r="AH57" s="352" t="s">
        <v>554</v>
      </c>
    </row>
    <row r="58" spans="1:34" ht="14.1" customHeight="1" x14ac:dyDescent="0.2">
      <c r="A58" s="297">
        <v>37</v>
      </c>
      <c r="B58" s="293" t="s">
        <v>90</v>
      </c>
      <c r="C58" s="45"/>
      <c r="D58" s="133">
        <f>Produksi!F64</f>
        <v>0</v>
      </c>
      <c r="E58" s="333">
        <f>Stok!L63</f>
        <v>0</v>
      </c>
      <c r="F58" s="134">
        <f>'Impor_Pangan Masuk'!F63</f>
        <v>87</v>
      </c>
      <c r="G58" s="134">
        <f>'Ekspor_Pangan Keluar'!F63</f>
        <v>0</v>
      </c>
      <c r="H58" s="134">
        <f t="shared" si="14"/>
        <v>87</v>
      </c>
      <c r="I58" s="134">
        <f>'Pemakaian Dalam Negeri'!E70</f>
        <v>0</v>
      </c>
      <c r="J58" s="134">
        <f>'Pemakaian Dalam Negeri'!F70</f>
        <v>0</v>
      </c>
      <c r="K58" s="134">
        <f>'Pemakaian Dalam Negeri'!G70</f>
        <v>0</v>
      </c>
      <c r="L58" s="134">
        <f>'Pemakaian Dalam Negeri'!H70</f>
        <v>0.9657</v>
      </c>
      <c r="M58" s="134">
        <f>'Pemakaian Dalam Negeri'!I70</f>
        <v>0</v>
      </c>
      <c r="N58" s="134">
        <f>'Pemakaian Dalam Negeri'!J70</f>
        <v>86.034300000000002</v>
      </c>
      <c r="O58" s="126">
        <f t="shared" si="3"/>
        <v>0.34676568388383949</v>
      </c>
      <c r="P58" s="126">
        <f t="shared" si="1"/>
        <v>0.95004296954476575</v>
      </c>
      <c r="Q58" s="122">
        <f t="shared" si="11"/>
        <v>0.38001718781790628</v>
      </c>
      <c r="R58" s="126">
        <f t="shared" si="12"/>
        <v>4.7502148477238286E-3</v>
      </c>
      <c r="S58" s="127">
        <f t="shared" si="13"/>
        <v>1.9000859390895315E-3</v>
      </c>
      <c r="T58" s="467">
        <v>100</v>
      </c>
      <c r="U58" s="472">
        <v>40</v>
      </c>
      <c r="V58" s="383">
        <v>0.5</v>
      </c>
      <c r="W58" s="384">
        <v>0.2</v>
      </c>
      <c r="X58" s="187"/>
      <c r="Y58" s="187"/>
      <c r="Z58" s="187"/>
      <c r="AA58" s="187"/>
      <c r="AB58" s="187"/>
      <c r="AC58" s="364"/>
      <c r="AE58" s="351">
        <v>100</v>
      </c>
      <c r="AF58" s="351">
        <v>30</v>
      </c>
      <c r="AG58" s="351">
        <v>0.5</v>
      </c>
      <c r="AH58" s="351">
        <v>0.2</v>
      </c>
    </row>
    <row r="59" spans="1:34" ht="14.1" customHeight="1" x14ac:dyDescent="0.2">
      <c r="A59" s="297">
        <v>38</v>
      </c>
      <c r="B59" s="293" t="s">
        <v>91</v>
      </c>
      <c r="C59" s="45"/>
      <c r="D59" s="133">
        <f>Produksi!F65</f>
        <v>0</v>
      </c>
      <c r="E59" s="333">
        <f>Stok!L64</f>
        <v>0</v>
      </c>
      <c r="F59" s="134">
        <f>'Impor_Pangan Masuk'!F64</f>
        <v>0</v>
      </c>
      <c r="G59" s="134">
        <f>'Ekspor_Pangan Keluar'!F64</f>
        <v>0</v>
      </c>
      <c r="H59" s="134">
        <f t="shared" si="14"/>
        <v>0</v>
      </c>
      <c r="I59" s="134">
        <f>'Pemakaian Dalam Negeri'!E71</f>
        <v>0</v>
      </c>
      <c r="J59" s="134">
        <f>'Pemakaian Dalam Negeri'!F71</f>
        <v>0</v>
      </c>
      <c r="K59" s="134">
        <f>'Pemakaian Dalam Negeri'!G71</f>
        <v>0</v>
      </c>
      <c r="L59" s="134">
        <f>'Pemakaian Dalam Negeri'!H71</f>
        <v>0</v>
      </c>
      <c r="M59" s="134">
        <f>'Pemakaian Dalam Negeri'!I71</f>
        <v>0</v>
      </c>
      <c r="N59" s="134">
        <f>'Pemakaian Dalam Negeri'!J71</f>
        <v>0</v>
      </c>
      <c r="O59" s="126">
        <f t="shared" si="3"/>
        <v>0</v>
      </c>
      <c r="P59" s="126">
        <f t="shared" si="1"/>
        <v>0</v>
      </c>
      <c r="Q59" s="122">
        <f t="shared" si="11"/>
        <v>0</v>
      </c>
      <c r="R59" s="126">
        <f t="shared" si="12"/>
        <v>0</v>
      </c>
      <c r="S59" s="127">
        <f t="shared" si="13"/>
        <v>0</v>
      </c>
      <c r="T59" s="466">
        <v>63</v>
      </c>
      <c r="U59" s="471">
        <v>58.7</v>
      </c>
      <c r="V59" s="381">
        <v>1</v>
      </c>
      <c r="W59" s="382">
        <v>1.8</v>
      </c>
      <c r="X59" s="187"/>
      <c r="Y59" s="187"/>
      <c r="Z59" s="187"/>
      <c r="AA59" s="187"/>
      <c r="AB59" s="187"/>
      <c r="AC59" s="364"/>
      <c r="AE59" s="353"/>
      <c r="AF59" s="353"/>
      <c r="AG59" s="353"/>
      <c r="AH59" s="353"/>
    </row>
    <row r="60" spans="1:34" ht="14.1" customHeight="1" x14ac:dyDescent="0.2">
      <c r="A60" s="297">
        <v>39</v>
      </c>
      <c r="B60" s="293" t="s">
        <v>92</v>
      </c>
      <c r="C60" s="45"/>
      <c r="D60" s="133">
        <f>Produksi!F66</f>
        <v>0</v>
      </c>
      <c r="E60" s="333">
        <f>Stok!L65</f>
        <v>0</v>
      </c>
      <c r="F60" s="134">
        <f>'Impor_Pangan Masuk'!F65</f>
        <v>0</v>
      </c>
      <c r="G60" s="134">
        <f>'Ekspor_Pangan Keluar'!F65</f>
        <v>0</v>
      </c>
      <c r="H60" s="134">
        <f t="shared" si="14"/>
        <v>0</v>
      </c>
      <c r="I60" s="134">
        <f>'Pemakaian Dalam Negeri'!E72</f>
        <v>0</v>
      </c>
      <c r="J60" s="134">
        <f>'Pemakaian Dalam Negeri'!F72</f>
        <v>0</v>
      </c>
      <c r="K60" s="134">
        <f>'Pemakaian Dalam Negeri'!G72</f>
        <v>0</v>
      </c>
      <c r="L60" s="134">
        <f>'Pemakaian Dalam Negeri'!H72</f>
        <v>0</v>
      </c>
      <c r="M60" s="134">
        <f>'Pemakaian Dalam Negeri'!I72</f>
        <v>0</v>
      </c>
      <c r="N60" s="134">
        <f>'Pemakaian Dalam Negeri'!J72</f>
        <v>0</v>
      </c>
      <c r="O60" s="126">
        <f t="shared" si="3"/>
        <v>0</v>
      </c>
      <c r="P60" s="126">
        <f t="shared" si="1"/>
        <v>0</v>
      </c>
      <c r="Q60" s="122">
        <f t="shared" si="11"/>
        <v>0</v>
      </c>
      <c r="R60" s="126">
        <f t="shared" si="12"/>
        <v>0</v>
      </c>
      <c r="S60" s="127">
        <f t="shared" si="13"/>
        <v>0</v>
      </c>
      <c r="T60" s="466">
        <v>100</v>
      </c>
      <c r="U60" s="471">
        <v>77</v>
      </c>
      <c r="V60" s="381">
        <v>0.45</v>
      </c>
      <c r="W60" s="382">
        <v>0.15</v>
      </c>
      <c r="X60" s="187"/>
      <c r="Y60" s="187"/>
      <c r="Z60" s="187"/>
      <c r="AA60" s="187"/>
      <c r="AB60" s="187"/>
      <c r="AC60" s="364"/>
      <c r="AE60" s="353"/>
      <c r="AF60" s="353"/>
      <c r="AG60" s="353"/>
      <c r="AH60" s="353"/>
    </row>
    <row r="61" spans="1:34" ht="14.1" customHeight="1" x14ac:dyDescent="0.2">
      <c r="A61" s="297">
        <v>40</v>
      </c>
      <c r="B61" s="293" t="s">
        <v>579</v>
      </c>
      <c r="C61" s="45"/>
      <c r="D61" s="133">
        <f>Produksi!F67</f>
        <v>7</v>
      </c>
      <c r="E61" s="333">
        <f>Stok!L66</f>
        <v>0</v>
      </c>
      <c r="F61" s="134">
        <f>'Impor_Pangan Masuk'!F66</f>
        <v>0</v>
      </c>
      <c r="G61" s="134">
        <f>'Ekspor_Pangan Keluar'!F66</f>
        <v>0</v>
      </c>
      <c r="H61" s="134">
        <f t="shared" si="14"/>
        <v>7</v>
      </c>
      <c r="I61" s="134">
        <f>'Pemakaian Dalam Negeri'!E73</f>
        <v>0</v>
      </c>
      <c r="J61" s="134">
        <f>'Pemakaian Dalam Negeri'!F73</f>
        <v>0</v>
      </c>
      <c r="K61" s="134">
        <f>'Pemakaian Dalam Negeri'!G73</f>
        <v>0</v>
      </c>
      <c r="L61" s="134">
        <f>'Pemakaian Dalam Negeri'!H73</f>
        <v>7.7700000000000005E-2</v>
      </c>
      <c r="M61" s="134">
        <f>'Pemakaian Dalam Negeri'!I73</f>
        <v>0</v>
      </c>
      <c r="N61" s="134">
        <f>'Pemakaian Dalam Negeri'!J73</f>
        <v>6.9222999999999999</v>
      </c>
      <c r="O61" s="126">
        <f t="shared" si="3"/>
        <v>2.7900687209044556E-2</v>
      </c>
      <c r="P61" s="126">
        <f t="shared" si="1"/>
        <v>7.6440238928889195E-2</v>
      </c>
      <c r="Q61" s="122">
        <f t="shared" si="11"/>
        <v>1.8452673677433851E-2</v>
      </c>
      <c r="R61" s="126">
        <f t="shared" si="12"/>
        <v>2.7136284819755666E-4</v>
      </c>
      <c r="S61" s="127">
        <f t="shared" si="13"/>
        <v>4.3418055711609067E-4</v>
      </c>
      <c r="T61" s="466">
        <v>71</v>
      </c>
      <c r="U61" s="471">
        <v>34</v>
      </c>
      <c r="V61" s="381">
        <v>0.5</v>
      </c>
      <c r="W61" s="382">
        <v>0.8</v>
      </c>
      <c r="X61" s="187"/>
      <c r="Y61" s="187"/>
      <c r="Z61" s="187"/>
      <c r="AA61" s="187"/>
      <c r="AB61" s="187"/>
      <c r="AC61" s="364"/>
      <c r="AE61" s="351">
        <v>100</v>
      </c>
      <c r="AF61" s="351">
        <v>34</v>
      </c>
      <c r="AG61" s="351">
        <v>0.5</v>
      </c>
      <c r="AH61" s="351">
        <v>0.8</v>
      </c>
    </row>
    <row r="62" spans="1:34" ht="14.1" customHeight="1" x14ac:dyDescent="0.2">
      <c r="A62" s="297">
        <v>41</v>
      </c>
      <c r="B62" s="293" t="s">
        <v>6</v>
      </c>
      <c r="C62" s="45"/>
      <c r="D62" s="133">
        <f>Produksi!F68</f>
        <v>10</v>
      </c>
      <c r="E62" s="333">
        <f>Stok!L67</f>
        <v>0</v>
      </c>
      <c r="F62" s="134">
        <f>'Impor_Pangan Masuk'!F67</f>
        <v>0</v>
      </c>
      <c r="G62" s="134">
        <f>'Ekspor_Pangan Keluar'!F67</f>
        <v>0</v>
      </c>
      <c r="H62" s="134">
        <f t="shared" si="14"/>
        <v>10</v>
      </c>
      <c r="I62" s="134">
        <f>'Pemakaian Dalam Negeri'!E74</f>
        <v>0</v>
      </c>
      <c r="J62" s="134">
        <f>'Pemakaian Dalam Negeri'!F74</f>
        <v>0</v>
      </c>
      <c r="K62" s="134">
        <f>'Pemakaian Dalam Negeri'!G74</f>
        <v>0</v>
      </c>
      <c r="L62" s="134">
        <f>'Pemakaian Dalam Negeri'!H74</f>
        <v>0.111</v>
      </c>
      <c r="M62" s="134">
        <f>'Pemakaian Dalam Negeri'!I74</f>
        <v>0</v>
      </c>
      <c r="N62" s="134">
        <f>'Pemakaian Dalam Negeri'!J74</f>
        <v>9.8889999999999993</v>
      </c>
      <c r="O62" s="126">
        <f t="shared" si="3"/>
        <v>3.9858124584349362E-2</v>
      </c>
      <c r="P62" s="126">
        <f t="shared" si="1"/>
        <v>0.10920034132698456</v>
      </c>
      <c r="Q62" s="122">
        <f t="shared" si="11"/>
        <v>3.2498021578910609E-2</v>
      </c>
      <c r="R62" s="126">
        <f t="shared" si="12"/>
        <v>4.0622526973638261E-4</v>
      </c>
      <c r="S62" s="127">
        <f t="shared" si="13"/>
        <v>1.3540842324546087E-4</v>
      </c>
      <c r="T62" s="466">
        <v>62</v>
      </c>
      <c r="U62" s="471">
        <v>48</v>
      </c>
      <c r="V62" s="381">
        <v>0.6</v>
      </c>
      <c r="W62" s="382">
        <v>0.2</v>
      </c>
      <c r="X62" s="187"/>
      <c r="Y62" s="187"/>
      <c r="Z62" s="187"/>
      <c r="AA62" s="187"/>
      <c r="AB62" s="187"/>
      <c r="AC62" s="364"/>
      <c r="AE62" s="353"/>
      <c r="AF62" s="353"/>
      <c r="AG62" s="353"/>
      <c r="AH62" s="353"/>
    </row>
    <row r="63" spans="1:34" ht="14.1" customHeight="1" x14ac:dyDescent="0.2">
      <c r="A63" s="297">
        <v>42</v>
      </c>
      <c r="B63" s="293" t="s">
        <v>7</v>
      </c>
      <c r="C63" s="45"/>
      <c r="D63" s="133">
        <f>Produksi!F69</f>
        <v>0</v>
      </c>
      <c r="E63" s="333">
        <f>Stok!L68</f>
        <v>0</v>
      </c>
      <c r="F63" s="134">
        <f>'Impor_Pangan Masuk'!F68</f>
        <v>0</v>
      </c>
      <c r="G63" s="134">
        <f>'Ekspor_Pangan Keluar'!F68</f>
        <v>0</v>
      </c>
      <c r="H63" s="134">
        <f t="shared" si="14"/>
        <v>0</v>
      </c>
      <c r="I63" s="134">
        <f>'Pemakaian Dalam Negeri'!E75</f>
        <v>0</v>
      </c>
      <c r="J63" s="134">
        <f>'Pemakaian Dalam Negeri'!F75</f>
        <v>0</v>
      </c>
      <c r="K63" s="134">
        <f>'Pemakaian Dalam Negeri'!G75</f>
        <v>0</v>
      </c>
      <c r="L63" s="134">
        <f>'Pemakaian Dalam Negeri'!H75</f>
        <v>0</v>
      </c>
      <c r="M63" s="134">
        <f>'Pemakaian Dalam Negeri'!I75</f>
        <v>0</v>
      </c>
      <c r="N63" s="134">
        <f>'Pemakaian Dalam Negeri'!J75</f>
        <v>0</v>
      </c>
      <c r="O63" s="126">
        <f t="shared" si="3"/>
        <v>0</v>
      </c>
      <c r="P63" s="126">
        <f t="shared" si="1"/>
        <v>0</v>
      </c>
      <c r="Q63" s="122">
        <f t="shared" si="11"/>
        <v>0</v>
      </c>
      <c r="R63" s="126">
        <f t="shared" si="12"/>
        <v>0</v>
      </c>
      <c r="S63" s="127">
        <f t="shared" si="13"/>
        <v>0</v>
      </c>
      <c r="T63" s="466">
        <v>100</v>
      </c>
      <c r="U63" s="471">
        <v>296</v>
      </c>
      <c r="V63" s="381">
        <v>2.5</v>
      </c>
      <c r="W63" s="382">
        <v>0</v>
      </c>
      <c r="X63" s="187"/>
      <c r="Y63" s="187"/>
      <c r="Z63" s="187"/>
      <c r="AA63" s="187"/>
      <c r="AB63" s="187"/>
      <c r="AC63" s="364"/>
      <c r="AE63" s="353"/>
      <c r="AF63" s="353"/>
      <c r="AG63" s="353"/>
      <c r="AH63" s="353"/>
    </row>
    <row r="64" spans="1:34" ht="14.1" customHeight="1" x14ac:dyDescent="0.2">
      <c r="A64" s="297">
        <v>43</v>
      </c>
      <c r="B64" s="293" t="s">
        <v>93</v>
      </c>
      <c r="C64" s="45"/>
      <c r="D64" s="133">
        <f>Produksi!F70</f>
        <v>0</v>
      </c>
      <c r="E64" s="333">
        <f>Stok!L69</f>
        <v>0</v>
      </c>
      <c r="F64" s="134">
        <f>'Impor_Pangan Masuk'!F69</f>
        <v>0</v>
      </c>
      <c r="G64" s="134">
        <f>'Ekspor_Pangan Keluar'!F69</f>
        <v>0</v>
      </c>
      <c r="H64" s="134">
        <f t="shared" si="14"/>
        <v>0</v>
      </c>
      <c r="I64" s="134">
        <f>'Pemakaian Dalam Negeri'!E76</f>
        <v>0</v>
      </c>
      <c r="J64" s="134">
        <f>'Pemakaian Dalam Negeri'!F76</f>
        <v>0</v>
      </c>
      <c r="K64" s="134">
        <f>'Pemakaian Dalam Negeri'!G76</f>
        <v>0</v>
      </c>
      <c r="L64" s="134">
        <f>'Pemakaian Dalam Negeri'!H76</f>
        <v>0</v>
      </c>
      <c r="M64" s="134">
        <f>'Pemakaian Dalam Negeri'!I76</f>
        <v>0</v>
      </c>
      <c r="N64" s="134">
        <f>'Pemakaian Dalam Negeri'!J76</f>
        <v>0</v>
      </c>
      <c r="O64" s="126">
        <f t="shared" si="3"/>
        <v>0</v>
      </c>
      <c r="P64" s="126">
        <f t="shared" si="1"/>
        <v>0</v>
      </c>
      <c r="Q64" s="122">
        <f t="shared" si="11"/>
        <v>0</v>
      </c>
      <c r="R64" s="126">
        <f t="shared" si="12"/>
        <v>0</v>
      </c>
      <c r="S64" s="127">
        <f t="shared" si="13"/>
        <v>0</v>
      </c>
      <c r="T64" s="466">
        <v>100</v>
      </c>
      <c r="U64" s="471">
        <v>69</v>
      </c>
      <c r="V64" s="381">
        <v>0.6</v>
      </c>
      <c r="W64" s="382">
        <v>0.1</v>
      </c>
      <c r="X64" s="187"/>
      <c r="Y64" s="187"/>
      <c r="Z64" s="187"/>
      <c r="AA64" s="187"/>
      <c r="AB64" s="187"/>
      <c r="AC64" s="364"/>
      <c r="AE64" s="353"/>
      <c r="AF64" s="353"/>
      <c r="AG64" s="353"/>
      <c r="AH64" s="353"/>
    </row>
    <row r="65" spans="1:34" ht="14.1" customHeight="1" x14ac:dyDescent="0.2">
      <c r="A65" s="297">
        <v>44</v>
      </c>
      <c r="B65" s="528" t="s">
        <v>8</v>
      </c>
      <c r="C65" s="45"/>
      <c r="D65" s="133">
        <f>Produksi!F71</f>
        <v>0</v>
      </c>
      <c r="E65" s="333">
        <f>Stok!L70</f>
        <v>0</v>
      </c>
      <c r="F65" s="134">
        <f>'Impor_Pangan Masuk'!F70</f>
        <v>50</v>
      </c>
      <c r="G65" s="134">
        <f>'Ekspor_Pangan Keluar'!F70</f>
        <v>0</v>
      </c>
      <c r="H65" s="134">
        <f t="shared" si="14"/>
        <v>50</v>
      </c>
      <c r="I65" s="134">
        <f>'Pemakaian Dalam Negeri'!E77</f>
        <v>0</v>
      </c>
      <c r="J65" s="134">
        <f>'Pemakaian Dalam Negeri'!F77</f>
        <v>0</v>
      </c>
      <c r="K65" s="134">
        <f>'Pemakaian Dalam Negeri'!G77</f>
        <v>0</v>
      </c>
      <c r="L65" s="134">
        <f>'Pemakaian Dalam Negeri'!H77</f>
        <v>0.55500000000000005</v>
      </c>
      <c r="M65" s="134">
        <f>'Pemakaian Dalam Negeri'!I77</f>
        <v>0</v>
      </c>
      <c r="N65" s="134">
        <f>'Pemakaian Dalam Negeri'!J77</f>
        <v>49.445</v>
      </c>
      <c r="O65" s="126">
        <f t="shared" si="3"/>
        <v>0.19929062292174685</v>
      </c>
      <c r="P65" s="126">
        <f t="shared" si="1"/>
        <v>0.54600170663492287</v>
      </c>
      <c r="Q65" s="122">
        <f t="shared" si="11"/>
        <v>0.36036112637904905</v>
      </c>
      <c r="R65" s="126">
        <f t="shared" si="12"/>
        <v>2.1840068265396913E-3</v>
      </c>
      <c r="S65" s="127">
        <f t="shared" si="13"/>
        <v>0</v>
      </c>
      <c r="T65" s="466">
        <v>100</v>
      </c>
      <c r="U65" s="471">
        <v>66</v>
      </c>
      <c r="V65" s="381">
        <v>0.4</v>
      </c>
      <c r="W65" s="382">
        <v>0</v>
      </c>
      <c r="X65" s="187"/>
      <c r="Y65" s="187"/>
      <c r="Z65" s="187"/>
      <c r="AA65" s="187"/>
      <c r="AB65" s="187"/>
      <c r="AC65" s="364"/>
      <c r="AE65" s="353"/>
      <c r="AF65" s="353"/>
      <c r="AG65" s="353"/>
      <c r="AH65" s="353"/>
    </row>
    <row r="66" spans="1:34" s="163" customFormat="1" x14ac:dyDescent="0.2">
      <c r="A66" s="297">
        <v>45</v>
      </c>
      <c r="B66" s="293" t="s">
        <v>9</v>
      </c>
      <c r="C66" s="45"/>
      <c r="D66" s="133">
        <f>Produksi!F72</f>
        <v>0</v>
      </c>
      <c r="E66" s="333">
        <f>Stok!L71</f>
        <v>0</v>
      </c>
      <c r="F66" s="134">
        <f>'Impor_Pangan Masuk'!F71</f>
        <v>0</v>
      </c>
      <c r="G66" s="134">
        <f>'Ekspor_Pangan Keluar'!F71</f>
        <v>0</v>
      </c>
      <c r="H66" s="134">
        <f t="shared" si="14"/>
        <v>0</v>
      </c>
      <c r="I66" s="134">
        <f>'Pemakaian Dalam Negeri'!E78</f>
        <v>0</v>
      </c>
      <c r="J66" s="134">
        <f>'Pemakaian Dalam Negeri'!F78</f>
        <v>0</v>
      </c>
      <c r="K66" s="134">
        <f>'Pemakaian Dalam Negeri'!G78</f>
        <v>0</v>
      </c>
      <c r="L66" s="134">
        <f>'Pemakaian Dalam Negeri'!H78</f>
        <v>0</v>
      </c>
      <c r="M66" s="134">
        <f>'Pemakaian Dalam Negeri'!I78</f>
        <v>0</v>
      </c>
      <c r="N66" s="134">
        <f>'Pemakaian Dalam Negeri'!J78</f>
        <v>0</v>
      </c>
      <c r="O66" s="126">
        <f t="shared" si="3"/>
        <v>0</v>
      </c>
      <c r="P66" s="126">
        <f t="shared" si="1"/>
        <v>0</v>
      </c>
      <c r="Q66" s="122">
        <f t="shared" si="11"/>
        <v>0</v>
      </c>
      <c r="R66" s="126">
        <f t="shared" si="12"/>
        <v>0</v>
      </c>
      <c r="S66" s="127">
        <f t="shared" si="13"/>
        <v>0</v>
      </c>
      <c r="T66" s="466">
        <v>100</v>
      </c>
      <c r="U66" s="471">
        <v>34</v>
      </c>
      <c r="V66" s="381">
        <v>15</v>
      </c>
      <c r="W66" s="382">
        <v>0.3</v>
      </c>
      <c r="X66" s="187"/>
      <c r="Y66" s="187"/>
      <c r="Z66" s="187"/>
      <c r="AA66" s="187"/>
      <c r="AB66" s="187"/>
      <c r="AC66" s="364"/>
      <c r="AE66" s="353"/>
      <c r="AF66" s="353"/>
      <c r="AG66" s="353"/>
      <c r="AH66" s="353"/>
    </row>
    <row r="67" spans="1:34" s="163" customFormat="1" x14ac:dyDescent="0.2">
      <c r="A67" s="297">
        <v>46</v>
      </c>
      <c r="B67" s="293" t="s">
        <v>10</v>
      </c>
      <c r="C67" s="45"/>
      <c r="D67" s="133">
        <f>Produksi!F73</f>
        <v>0</v>
      </c>
      <c r="E67" s="333">
        <f>Stok!L72</f>
        <v>0</v>
      </c>
      <c r="F67" s="134">
        <f>'Impor_Pangan Masuk'!F72</f>
        <v>0</v>
      </c>
      <c r="G67" s="134">
        <f>'Ekspor_Pangan Keluar'!F72</f>
        <v>0</v>
      </c>
      <c r="H67" s="134">
        <f t="shared" si="14"/>
        <v>0</v>
      </c>
      <c r="I67" s="134">
        <f>'Pemakaian Dalam Negeri'!E79</f>
        <v>0</v>
      </c>
      <c r="J67" s="134">
        <f>'Pemakaian Dalam Negeri'!F79</f>
        <v>0</v>
      </c>
      <c r="K67" s="134">
        <f>'Pemakaian Dalam Negeri'!G79</f>
        <v>0</v>
      </c>
      <c r="L67" s="134">
        <f>'Pemakaian Dalam Negeri'!H79</f>
        <v>0</v>
      </c>
      <c r="M67" s="134">
        <f>'Pemakaian Dalam Negeri'!I79</f>
        <v>0</v>
      </c>
      <c r="N67" s="134">
        <f>'Pemakaian Dalam Negeri'!J79</f>
        <v>0</v>
      </c>
      <c r="O67" s="126">
        <f t="shared" si="3"/>
        <v>0</v>
      </c>
      <c r="P67" s="126">
        <f t="shared" si="1"/>
        <v>0</v>
      </c>
      <c r="Q67" s="122">
        <f t="shared" si="11"/>
        <v>0</v>
      </c>
      <c r="R67" s="126">
        <f t="shared" si="12"/>
        <v>0</v>
      </c>
      <c r="S67" s="127">
        <f t="shared" si="13"/>
        <v>0</v>
      </c>
      <c r="T67" s="466">
        <v>100</v>
      </c>
      <c r="U67" s="471">
        <v>23</v>
      </c>
      <c r="V67" s="381">
        <v>1.7</v>
      </c>
      <c r="W67" s="382">
        <v>0.1</v>
      </c>
      <c r="X67" s="187"/>
      <c r="Y67" s="187"/>
      <c r="Z67" s="187"/>
      <c r="AA67" s="187"/>
      <c r="AB67" s="187"/>
      <c r="AC67" s="364"/>
      <c r="AE67" s="353"/>
      <c r="AF67" s="353"/>
      <c r="AG67" s="353"/>
      <c r="AH67" s="353"/>
    </row>
    <row r="68" spans="1:34" s="163" customFormat="1" ht="13.9" customHeight="1" x14ac:dyDescent="0.2">
      <c r="A68" s="297">
        <v>47</v>
      </c>
      <c r="B68" s="293" t="s">
        <v>11</v>
      </c>
      <c r="C68" s="45"/>
      <c r="D68" s="133">
        <f>Produksi!F74</f>
        <v>0</v>
      </c>
      <c r="E68" s="333">
        <f>Stok!L73</f>
        <v>0</v>
      </c>
      <c r="F68" s="134">
        <f>'Impor_Pangan Masuk'!F73</f>
        <v>0</v>
      </c>
      <c r="G68" s="134">
        <f>'Ekspor_Pangan Keluar'!F73</f>
        <v>0</v>
      </c>
      <c r="H68" s="134">
        <f t="shared" si="14"/>
        <v>0</v>
      </c>
      <c r="I68" s="134">
        <f>'Pemakaian Dalam Negeri'!E80</f>
        <v>0</v>
      </c>
      <c r="J68" s="134">
        <f>'Pemakaian Dalam Negeri'!F80</f>
        <v>0</v>
      </c>
      <c r="K68" s="134">
        <f>'Pemakaian Dalam Negeri'!G80</f>
        <v>0</v>
      </c>
      <c r="L68" s="134">
        <f>'Pemakaian Dalam Negeri'!H80</f>
        <v>0</v>
      </c>
      <c r="M68" s="134">
        <f>'Pemakaian Dalam Negeri'!I80</f>
        <v>0</v>
      </c>
      <c r="N68" s="134">
        <f>'Pemakaian Dalam Negeri'!J80</f>
        <v>0</v>
      </c>
      <c r="O68" s="126">
        <f t="shared" si="3"/>
        <v>0</v>
      </c>
      <c r="P68" s="126">
        <f t="shared" si="1"/>
        <v>0</v>
      </c>
      <c r="Q68" s="122">
        <f t="shared" si="11"/>
        <v>0</v>
      </c>
      <c r="R68" s="126">
        <f t="shared" si="12"/>
        <v>0</v>
      </c>
      <c r="S68" s="127">
        <f t="shared" si="13"/>
        <v>0</v>
      </c>
      <c r="T68" s="466">
        <v>100</v>
      </c>
      <c r="U68" s="471">
        <v>46</v>
      </c>
      <c r="V68" s="381">
        <v>0.9</v>
      </c>
      <c r="W68" s="382">
        <v>0.4</v>
      </c>
      <c r="X68" s="187"/>
      <c r="Y68" s="187"/>
      <c r="Z68" s="187"/>
      <c r="AA68" s="187"/>
      <c r="AB68" s="187"/>
      <c r="AC68" s="364"/>
      <c r="AE68" s="353"/>
      <c r="AF68" s="353"/>
      <c r="AG68" s="353"/>
      <c r="AH68" s="353"/>
    </row>
    <row r="69" spans="1:34" ht="14.1" customHeight="1" x14ac:dyDescent="0.2">
      <c r="A69" s="297">
        <v>48</v>
      </c>
      <c r="B69" s="293" t="s">
        <v>12</v>
      </c>
      <c r="C69" s="45"/>
      <c r="D69" s="133">
        <f>Produksi!F75</f>
        <v>0</v>
      </c>
      <c r="E69" s="333">
        <f>Stok!L74</f>
        <v>0</v>
      </c>
      <c r="F69" s="134">
        <f>'Impor_Pangan Masuk'!F74</f>
        <v>0</v>
      </c>
      <c r="G69" s="134">
        <f>'Ekspor_Pangan Keluar'!F74</f>
        <v>0</v>
      </c>
      <c r="H69" s="134">
        <f t="shared" si="14"/>
        <v>0</v>
      </c>
      <c r="I69" s="134">
        <f>'Pemakaian Dalam Negeri'!E81</f>
        <v>0</v>
      </c>
      <c r="J69" s="134">
        <f>'Pemakaian Dalam Negeri'!F81</f>
        <v>0</v>
      </c>
      <c r="K69" s="134">
        <f>'Pemakaian Dalam Negeri'!G81</f>
        <v>0</v>
      </c>
      <c r="L69" s="134">
        <f>'Pemakaian Dalam Negeri'!H81</f>
        <v>0</v>
      </c>
      <c r="M69" s="134">
        <f>'Pemakaian Dalam Negeri'!I81</f>
        <v>0</v>
      </c>
      <c r="N69" s="134">
        <f>'Pemakaian Dalam Negeri'!J81</f>
        <v>0</v>
      </c>
      <c r="O69" s="126">
        <f t="shared" si="3"/>
        <v>0</v>
      </c>
      <c r="P69" s="126">
        <f t="shared" si="1"/>
        <v>0</v>
      </c>
      <c r="Q69" s="122">
        <f t="shared" si="11"/>
        <v>0</v>
      </c>
      <c r="R69" s="126">
        <f t="shared" si="12"/>
        <v>0</v>
      </c>
      <c r="S69" s="127">
        <f t="shared" si="13"/>
        <v>0</v>
      </c>
      <c r="T69" s="466">
        <v>100</v>
      </c>
      <c r="U69" s="471">
        <v>78</v>
      </c>
      <c r="V69" s="381">
        <v>0.8</v>
      </c>
      <c r="W69" s="382">
        <v>0.4</v>
      </c>
      <c r="X69" s="187"/>
      <c r="Y69" s="187"/>
      <c r="Z69" s="187"/>
      <c r="AA69" s="187"/>
      <c r="AB69" s="187"/>
      <c r="AC69" s="364"/>
      <c r="AE69" s="353"/>
      <c r="AF69" s="353"/>
      <c r="AG69" s="353"/>
      <c r="AH69" s="353"/>
    </row>
    <row r="70" spans="1:34" ht="14.1" customHeight="1" x14ac:dyDescent="0.2">
      <c r="A70" s="297">
        <v>49</v>
      </c>
      <c r="B70" s="293" t="s">
        <v>13</v>
      </c>
      <c r="C70" s="45"/>
      <c r="D70" s="133">
        <f>Produksi!F76</f>
        <v>58</v>
      </c>
      <c r="E70" s="333">
        <f>Stok!L75</f>
        <v>0</v>
      </c>
      <c r="F70" s="134">
        <f>'Impor_Pangan Masuk'!F75</f>
        <v>68</v>
      </c>
      <c r="G70" s="134">
        <f>'Ekspor_Pangan Keluar'!F75</f>
        <v>0</v>
      </c>
      <c r="H70" s="134">
        <f t="shared" si="14"/>
        <v>126</v>
      </c>
      <c r="I70" s="134">
        <f>'Pemakaian Dalam Negeri'!E82</f>
        <v>0</v>
      </c>
      <c r="J70" s="134">
        <f>'Pemakaian Dalam Negeri'!F82</f>
        <v>0</v>
      </c>
      <c r="K70" s="134">
        <f>'Pemakaian Dalam Negeri'!G82</f>
        <v>0</v>
      </c>
      <c r="L70" s="134">
        <f>'Pemakaian Dalam Negeri'!H82</f>
        <v>1.3986000000000001</v>
      </c>
      <c r="M70" s="134">
        <f>'Pemakaian Dalam Negeri'!I82</f>
        <v>0</v>
      </c>
      <c r="N70" s="134">
        <f>'Pemakaian Dalam Negeri'!J82</f>
        <v>124.6014</v>
      </c>
      <c r="O70" s="126">
        <f t="shared" si="3"/>
        <v>0.50221236976280204</v>
      </c>
      <c r="P70" s="126">
        <f t="shared" si="1"/>
        <v>1.3759243007200055</v>
      </c>
      <c r="Q70" s="122">
        <f t="shared" si="11"/>
        <v>0.96314701050400386</v>
      </c>
      <c r="R70" s="126">
        <f t="shared" si="12"/>
        <v>1.1007394405760046E-2</v>
      </c>
      <c r="S70" s="127">
        <f t="shared" si="13"/>
        <v>4.1277729021600169E-3</v>
      </c>
      <c r="T70" s="466">
        <v>100</v>
      </c>
      <c r="U70" s="471">
        <v>70</v>
      </c>
      <c r="V70" s="381">
        <v>0.8</v>
      </c>
      <c r="W70" s="382">
        <v>0.3</v>
      </c>
      <c r="X70" s="187"/>
      <c r="Y70" s="187"/>
      <c r="Z70" s="187"/>
      <c r="AA70" s="187"/>
      <c r="AB70" s="187"/>
      <c r="AC70" s="364"/>
      <c r="AE70" s="353"/>
      <c r="AF70" s="353"/>
      <c r="AG70" s="353"/>
      <c r="AH70" s="353"/>
    </row>
    <row r="71" spans="1:34" ht="14.1" customHeight="1" x14ac:dyDescent="0.2">
      <c r="A71" s="297">
        <v>50</v>
      </c>
      <c r="B71" s="293" t="s">
        <v>14</v>
      </c>
      <c r="C71" s="45"/>
      <c r="D71" s="133">
        <f>Produksi!F77</f>
        <v>0</v>
      </c>
      <c r="E71" s="333">
        <f>Stok!L76</f>
        <v>0</v>
      </c>
      <c r="F71" s="134">
        <f>'Impor_Pangan Masuk'!F76</f>
        <v>0</v>
      </c>
      <c r="G71" s="134">
        <f>'Ekspor_Pangan Keluar'!F76</f>
        <v>0</v>
      </c>
      <c r="H71" s="134">
        <f t="shared" si="14"/>
        <v>0</v>
      </c>
      <c r="I71" s="134">
        <f>'Pemakaian Dalam Negeri'!E83</f>
        <v>0</v>
      </c>
      <c r="J71" s="134">
        <f>'Pemakaian Dalam Negeri'!F83</f>
        <v>0</v>
      </c>
      <c r="K71" s="134">
        <f>'Pemakaian Dalam Negeri'!G83</f>
        <v>0</v>
      </c>
      <c r="L71" s="134">
        <f>'Pemakaian Dalam Negeri'!H83</f>
        <v>0</v>
      </c>
      <c r="M71" s="134">
        <f>'Pemakaian Dalam Negeri'!I83</f>
        <v>0</v>
      </c>
      <c r="N71" s="134">
        <f>'Pemakaian Dalam Negeri'!J83</f>
        <v>0</v>
      </c>
      <c r="O71" s="126">
        <f t="shared" si="3"/>
        <v>0</v>
      </c>
      <c r="P71" s="126">
        <f t="shared" si="1"/>
        <v>0</v>
      </c>
      <c r="Q71" s="122">
        <f t="shared" si="11"/>
        <v>0</v>
      </c>
      <c r="R71" s="126">
        <f t="shared" si="12"/>
        <v>0</v>
      </c>
      <c r="S71" s="127">
        <f t="shared" si="13"/>
        <v>0</v>
      </c>
      <c r="T71" s="466">
        <v>100</v>
      </c>
      <c r="U71" s="471">
        <v>77</v>
      </c>
      <c r="V71" s="381">
        <v>0.7</v>
      </c>
      <c r="W71" s="382">
        <v>0.6</v>
      </c>
      <c r="X71" s="187"/>
      <c r="Y71" s="187"/>
      <c r="Z71" s="187"/>
      <c r="AA71" s="187"/>
      <c r="AB71" s="187"/>
      <c r="AC71" s="364"/>
      <c r="AE71" s="353"/>
      <c r="AF71" s="353"/>
      <c r="AG71" s="353"/>
      <c r="AH71" s="353"/>
    </row>
    <row r="72" spans="1:34" ht="14.1" customHeight="1" x14ac:dyDescent="0.2">
      <c r="A72" s="297">
        <v>51</v>
      </c>
      <c r="B72" s="293" t="s">
        <v>15</v>
      </c>
      <c r="C72" s="45"/>
      <c r="D72" s="133">
        <f>Produksi!F78</f>
        <v>23</v>
      </c>
      <c r="E72" s="333">
        <f>Stok!L77</f>
        <v>0</v>
      </c>
      <c r="F72" s="134">
        <f>'Impor_Pangan Masuk'!F77</f>
        <v>56</v>
      </c>
      <c r="G72" s="134">
        <f>'Ekspor_Pangan Keluar'!F77</f>
        <v>0</v>
      </c>
      <c r="H72" s="134">
        <f t="shared" si="14"/>
        <v>79</v>
      </c>
      <c r="I72" s="134">
        <f>'Pemakaian Dalam Negeri'!E84</f>
        <v>0</v>
      </c>
      <c r="J72" s="134">
        <f>'Pemakaian Dalam Negeri'!F84</f>
        <v>0</v>
      </c>
      <c r="K72" s="134">
        <f>'Pemakaian Dalam Negeri'!G84</f>
        <v>0</v>
      </c>
      <c r="L72" s="134">
        <f>'Pemakaian Dalam Negeri'!H84</f>
        <v>0.87690000000000001</v>
      </c>
      <c r="M72" s="134">
        <f>'Pemakaian Dalam Negeri'!I84</f>
        <v>0</v>
      </c>
      <c r="N72" s="134">
        <f>'Pemakaian Dalam Negeri'!J84</f>
        <v>78.123099999999994</v>
      </c>
      <c r="O72" s="126">
        <f t="shared" si="3"/>
        <v>0.31487918421636002</v>
      </c>
      <c r="P72" s="126">
        <f t="shared" si="1"/>
        <v>0.86268269648317808</v>
      </c>
      <c r="Q72" s="122">
        <f t="shared" si="11"/>
        <v>0.38373636034290604</v>
      </c>
      <c r="R72" s="126">
        <f t="shared" si="12"/>
        <v>7.5538653610808274E-3</v>
      </c>
      <c r="S72" s="127">
        <f t="shared" si="13"/>
        <v>1.2388339192172556E-2</v>
      </c>
      <c r="T72" s="468">
        <v>70.05</v>
      </c>
      <c r="U72" s="473">
        <v>63.5</v>
      </c>
      <c r="V72" s="351">
        <v>1.25</v>
      </c>
      <c r="W72" s="386">
        <v>2.0499999999999998</v>
      </c>
      <c r="X72" s="187"/>
      <c r="Y72" s="187"/>
      <c r="Z72" s="187"/>
      <c r="AA72" s="187"/>
      <c r="AB72" s="187"/>
      <c r="AC72" s="364"/>
      <c r="AD72" s="120" t="s">
        <v>533</v>
      </c>
      <c r="AE72" s="352">
        <v>70.05</v>
      </c>
      <c r="AF72" s="352">
        <v>63.5</v>
      </c>
      <c r="AG72" s="352">
        <v>1.25</v>
      </c>
      <c r="AH72" s="352">
        <v>2.0499999999999998</v>
      </c>
    </row>
    <row r="73" spans="1:34" ht="14.1" customHeight="1" x14ac:dyDescent="0.2">
      <c r="A73" s="297">
        <v>52</v>
      </c>
      <c r="B73" s="349" t="s">
        <v>16</v>
      </c>
      <c r="C73" s="45"/>
      <c r="D73" s="133">
        <f>Produksi!F79</f>
        <v>125</v>
      </c>
      <c r="E73" s="333">
        <f>Stok!L78</f>
        <v>0</v>
      </c>
      <c r="F73" s="134">
        <f>'Impor_Pangan Masuk'!F78</f>
        <v>0</v>
      </c>
      <c r="G73" s="134">
        <f>'Ekspor_Pangan Keluar'!F78</f>
        <v>0</v>
      </c>
      <c r="H73" s="134">
        <f t="shared" si="14"/>
        <v>125</v>
      </c>
      <c r="I73" s="134">
        <f>'Pemakaian Dalam Negeri'!E85</f>
        <v>0</v>
      </c>
      <c r="J73" s="134">
        <f>'Pemakaian Dalam Negeri'!F85</f>
        <v>0</v>
      </c>
      <c r="K73" s="134">
        <f>'Pemakaian Dalam Negeri'!G85</f>
        <v>0</v>
      </c>
      <c r="L73" s="134">
        <f>'Pemakaian Dalam Negeri'!H85</f>
        <v>1.3875</v>
      </c>
      <c r="M73" s="134">
        <f>'Pemakaian Dalam Negeri'!I85</f>
        <v>0</v>
      </c>
      <c r="N73" s="134">
        <f>'Pemakaian Dalam Negeri'!J85</f>
        <v>123.6125</v>
      </c>
      <c r="O73" s="126">
        <f t="shared" si="3"/>
        <v>0.4982265573043671</v>
      </c>
      <c r="P73" s="126">
        <f t="shared" si="1"/>
        <v>1.365004266587307</v>
      </c>
      <c r="Q73" s="122">
        <f t="shared" si="11"/>
        <v>0.45645742674679546</v>
      </c>
      <c r="R73" s="126">
        <f t="shared" si="12"/>
        <v>5.1870162130317667E-3</v>
      </c>
      <c r="S73" s="127">
        <f t="shared" si="13"/>
        <v>2.0748064852127066E-3</v>
      </c>
      <c r="T73" s="469">
        <v>76</v>
      </c>
      <c r="U73" s="474">
        <v>44</v>
      </c>
      <c r="V73" s="388">
        <v>0.5</v>
      </c>
      <c r="W73" s="389">
        <v>0.2</v>
      </c>
      <c r="X73" s="187">
        <v>0</v>
      </c>
      <c r="Y73" s="187">
        <v>0.01</v>
      </c>
      <c r="Z73" s="187">
        <v>19.7</v>
      </c>
      <c r="AA73" s="187"/>
      <c r="AB73" s="187"/>
      <c r="AC73" s="364"/>
      <c r="AD73" s="120" t="s">
        <v>533</v>
      </c>
      <c r="AE73" s="354">
        <v>76</v>
      </c>
      <c r="AF73" s="354">
        <v>44</v>
      </c>
      <c r="AG73" s="354">
        <v>0.5</v>
      </c>
      <c r="AH73" s="354">
        <v>0.2</v>
      </c>
    </row>
    <row r="74" spans="1:34" ht="14.1" customHeight="1" x14ac:dyDescent="0.2">
      <c r="A74" s="297">
        <v>53</v>
      </c>
      <c r="B74" s="349" t="s">
        <v>17</v>
      </c>
      <c r="C74" s="45"/>
      <c r="D74" s="133">
        <f>Produksi!F80</f>
        <v>0</v>
      </c>
      <c r="E74" s="333">
        <f>Stok!L79</f>
        <v>0</v>
      </c>
      <c r="F74" s="134">
        <f>'Impor_Pangan Masuk'!F79</f>
        <v>0</v>
      </c>
      <c r="G74" s="134">
        <f>'Ekspor_Pangan Keluar'!F79</f>
        <v>0</v>
      </c>
      <c r="H74" s="134">
        <f t="shared" si="14"/>
        <v>0</v>
      </c>
      <c r="I74" s="134">
        <f>'Pemakaian Dalam Negeri'!E86</f>
        <v>0</v>
      </c>
      <c r="J74" s="134">
        <f>'Pemakaian Dalam Negeri'!F86</f>
        <v>0</v>
      </c>
      <c r="K74" s="134">
        <f>'Pemakaian Dalam Negeri'!G86</f>
        <v>0</v>
      </c>
      <c r="L74" s="134">
        <f>'Pemakaian Dalam Negeri'!H86</f>
        <v>0</v>
      </c>
      <c r="M74" s="134">
        <f>'Pemakaian Dalam Negeri'!I86</f>
        <v>0</v>
      </c>
      <c r="N74" s="134">
        <f>'Pemakaian Dalam Negeri'!J86</f>
        <v>0</v>
      </c>
      <c r="O74" s="126">
        <f t="shared" si="3"/>
        <v>0</v>
      </c>
      <c r="P74" s="126">
        <f t="shared" si="1"/>
        <v>0</v>
      </c>
      <c r="Q74" s="122">
        <f t="shared" si="11"/>
        <v>0</v>
      </c>
      <c r="R74" s="126">
        <f t="shared" si="12"/>
        <v>0</v>
      </c>
      <c r="S74" s="127">
        <f t="shared" si="13"/>
        <v>0</v>
      </c>
      <c r="T74" s="466">
        <v>100</v>
      </c>
      <c r="U74" s="471">
        <v>83</v>
      </c>
      <c r="V74" s="381">
        <v>1.7</v>
      </c>
      <c r="W74" s="382">
        <v>1.2</v>
      </c>
      <c r="X74" s="187"/>
      <c r="Y74" s="187"/>
      <c r="Z74" s="187"/>
      <c r="AA74" s="187"/>
      <c r="AB74" s="187"/>
      <c r="AC74" s="364"/>
      <c r="AE74" s="355"/>
      <c r="AF74" s="355"/>
      <c r="AG74" s="355"/>
      <c r="AH74" s="355"/>
    </row>
    <row r="75" spans="1:34" ht="14.1" customHeight="1" x14ac:dyDescent="0.2">
      <c r="A75" s="297">
        <v>54</v>
      </c>
      <c r="B75" s="293" t="s">
        <v>18</v>
      </c>
      <c r="C75" s="45"/>
      <c r="D75" s="133">
        <f>Produksi!F81</f>
        <v>0</v>
      </c>
      <c r="E75" s="333">
        <f>Stok!L80</f>
        <v>0</v>
      </c>
      <c r="F75" s="134">
        <f>'Impor_Pangan Masuk'!F80</f>
        <v>382.00386447332943</v>
      </c>
      <c r="G75" s="134">
        <f>'Ekspor_Pangan Keluar'!F80</f>
        <v>0</v>
      </c>
      <c r="H75" s="134">
        <f t="shared" si="14"/>
        <v>382.00386447332943</v>
      </c>
      <c r="I75" s="134">
        <f>'Pemakaian Dalam Negeri'!E87</f>
        <v>0</v>
      </c>
      <c r="J75" s="134">
        <f>'Pemakaian Dalam Negeri'!F87</f>
        <v>0</v>
      </c>
      <c r="K75" s="134">
        <f>'Pemakaian Dalam Negeri'!G87</f>
        <v>0</v>
      </c>
      <c r="L75" s="134">
        <f>'Pemakaian Dalam Negeri'!H87</f>
        <v>4.2402428956539566</v>
      </c>
      <c r="M75" s="134">
        <f>'Pemakaian Dalam Negeri'!I87</f>
        <v>0</v>
      </c>
      <c r="N75" s="134">
        <f>'Pemakaian Dalam Negeri'!J87</f>
        <v>377.76362157767545</v>
      </c>
      <c r="O75" s="126">
        <f t="shared" si="3"/>
        <v>1.5225957621880875</v>
      </c>
      <c r="P75" s="126">
        <f t="shared" si="1"/>
        <v>4.171495238871473</v>
      </c>
      <c r="Q75" s="122">
        <f t="shared" si="11"/>
        <v>2.7837136458904008</v>
      </c>
      <c r="R75" s="126">
        <f t="shared" si="12"/>
        <v>5.2753370559266932E-2</v>
      </c>
      <c r="S75" s="127">
        <f t="shared" si="13"/>
        <v>2.8002498808629525E-2</v>
      </c>
      <c r="T75" s="466">
        <v>100</v>
      </c>
      <c r="U75" s="471">
        <f>AVERAGE(U36:U74)</f>
        <v>66.731794871794875</v>
      </c>
      <c r="V75" s="381">
        <f t="shared" ref="V75:W75" si="15">AVERAGE(V36:V74)</f>
        <v>1.2646153846153847</v>
      </c>
      <c r="W75" s="382">
        <f t="shared" si="15"/>
        <v>0.67128205128205121</v>
      </c>
      <c r="X75" s="187"/>
      <c r="Y75" s="187"/>
      <c r="Z75" s="187"/>
      <c r="AA75" s="187"/>
      <c r="AB75" s="187"/>
      <c r="AC75" s="364"/>
      <c r="AE75" s="351"/>
      <c r="AF75" s="351"/>
      <c r="AG75" s="351"/>
      <c r="AH75" s="351"/>
    </row>
    <row r="76" spans="1:34" ht="14.1" customHeight="1" x14ac:dyDescent="0.2">
      <c r="A76" s="297"/>
      <c r="B76" s="282"/>
      <c r="C76" s="293"/>
      <c r="D76" s="133"/>
      <c r="E76" s="333"/>
      <c r="F76" s="134"/>
      <c r="G76" s="134"/>
      <c r="H76" s="134"/>
      <c r="I76" s="134"/>
      <c r="J76" s="134"/>
      <c r="K76" s="134"/>
      <c r="L76" s="134"/>
      <c r="M76" s="134"/>
      <c r="N76" s="134"/>
      <c r="O76" s="126"/>
      <c r="P76" s="126"/>
      <c r="Q76" s="122"/>
      <c r="R76" s="126"/>
      <c r="S76" s="127"/>
      <c r="T76" s="466"/>
      <c r="U76" s="471"/>
      <c r="V76" s="381"/>
      <c r="W76" s="382"/>
      <c r="X76" s="187"/>
      <c r="Y76" s="187"/>
      <c r="Z76" s="187"/>
      <c r="AA76" s="187"/>
      <c r="AB76" s="187"/>
      <c r="AC76" s="364"/>
      <c r="AE76" s="120"/>
      <c r="AF76" s="120"/>
    </row>
    <row r="77" spans="1:34" ht="14.1" customHeight="1" thickBot="1" x14ac:dyDescent="0.25">
      <c r="A77" s="295" t="s">
        <v>19</v>
      </c>
      <c r="B77" s="293"/>
      <c r="C77" s="282"/>
      <c r="D77" s="133"/>
      <c r="E77" s="333"/>
      <c r="F77" s="134"/>
      <c r="G77" s="134"/>
      <c r="H77" s="134"/>
      <c r="I77" s="134"/>
      <c r="J77" s="134"/>
      <c r="K77" s="134"/>
      <c r="L77" s="134"/>
      <c r="M77" s="134"/>
      <c r="N77" s="134"/>
      <c r="O77" s="126"/>
      <c r="P77" s="126"/>
      <c r="Q77" s="567">
        <f>SUM(Q78:Q110)</f>
        <v>56.333627526766335</v>
      </c>
      <c r="R77" s="340">
        <f>SUM(R78:R110)</f>
        <v>2.5213572524429226</v>
      </c>
      <c r="S77" s="340">
        <f>SUM(S78:S110)</f>
        <v>0.54068180694563062</v>
      </c>
      <c r="T77" s="466"/>
      <c r="U77" s="471"/>
      <c r="V77" s="381"/>
      <c r="W77" s="382"/>
      <c r="X77" s="187"/>
      <c r="Y77" s="187"/>
      <c r="Z77" s="187"/>
      <c r="AA77" s="187"/>
      <c r="AB77" s="187"/>
      <c r="AC77" s="364"/>
      <c r="AE77" s="120"/>
      <c r="AF77" s="120"/>
    </row>
    <row r="78" spans="1:34" ht="14.1" customHeight="1" x14ac:dyDescent="0.2">
      <c r="A78" s="297">
        <v>55</v>
      </c>
      <c r="B78" s="282" t="s">
        <v>94</v>
      </c>
      <c r="C78" s="45"/>
      <c r="D78" s="133">
        <f>Produksi!F84</f>
        <v>0.39504</v>
      </c>
      <c r="E78" s="333">
        <f>Stok!L83</f>
        <v>0</v>
      </c>
      <c r="F78" s="134">
        <f>'Impor_Pangan Masuk'!F83</f>
        <v>1465</v>
      </c>
      <c r="G78" s="134">
        <f>'Ekspor_Pangan Keluar'!F83</f>
        <v>0</v>
      </c>
      <c r="H78" s="134">
        <f t="shared" si="14"/>
        <v>1465.3950400000001</v>
      </c>
      <c r="I78" s="134">
        <f>'Pemakaian Dalam Negeri'!E90</f>
        <v>0</v>
      </c>
      <c r="J78" s="134">
        <f>'Pemakaian Dalam Negeri'!F90</f>
        <v>0</v>
      </c>
      <c r="K78" s="134">
        <f>'Pemakaian Dalam Negeri'!G90</f>
        <v>0</v>
      </c>
      <c r="L78" s="134">
        <f>'Pemakaian Dalam Negeri'!H90</f>
        <v>31.799072368000004</v>
      </c>
      <c r="M78" s="134">
        <f>'Pemakaian Dalam Negeri'!I90</f>
        <v>0</v>
      </c>
      <c r="N78" s="134">
        <f>'Pemakaian Dalam Negeri'!J90</f>
        <v>1433.5959676320001</v>
      </c>
      <c r="O78" s="126">
        <f t="shared" ref="O78:O141" si="16">(N78+K78)/$Q$4*1000</f>
        <v>5.7781824938312409</v>
      </c>
      <c r="P78" s="126">
        <f t="shared" ref="P78:P141" si="17">O78/365*1000</f>
        <v>15.830636969400659</v>
      </c>
      <c r="Q78" s="568">
        <f t="shared" ref="Q78:Q110" si="18">P78/100*T78/100*U78</f>
        <v>5.0008982186336679</v>
      </c>
      <c r="R78" s="177">
        <f t="shared" ref="R78:R110" si="19">P78/100*T78/100*V78</f>
        <v>0.19234223917821802</v>
      </c>
      <c r="S78" s="178">
        <f t="shared" ref="S78:S110" si="20">P78/100*T78/100*W78</f>
        <v>4.2742719817381779E-2</v>
      </c>
      <c r="T78" s="466">
        <v>90</v>
      </c>
      <c r="U78" s="471">
        <v>35.1</v>
      </c>
      <c r="V78" s="381">
        <v>1.35</v>
      </c>
      <c r="W78" s="382">
        <v>0.3</v>
      </c>
      <c r="X78" s="187">
        <v>0</v>
      </c>
      <c r="Y78" s="187">
        <v>0.03</v>
      </c>
      <c r="Z78" s="187">
        <v>2</v>
      </c>
      <c r="AA78" s="187">
        <v>36</v>
      </c>
      <c r="AB78" s="187">
        <v>40</v>
      </c>
      <c r="AC78" s="364">
        <v>0.8</v>
      </c>
      <c r="AE78" s="56">
        <v>90</v>
      </c>
      <c r="AF78" s="56">
        <v>46</v>
      </c>
      <c r="AG78" s="56">
        <v>1.5</v>
      </c>
      <c r="AH78" s="56">
        <v>0.3</v>
      </c>
    </row>
    <row r="79" spans="1:34" ht="14.1" customHeight="1" x14ac:dyDescent="0.2">
      <c r="A79" s="297">
        <v>56</v>
      </c>
      <c r="B79" s="293" t="s">
        <v>110</v>
      </c>
      <c r="C79" s="45"/>
      <c r="D79" s="133">
        <f>Produksi!F85</f>
        <v>0</v>
      </c>
      <c r="E79" s="333">
        <f>Stok!L84</f>
        <v>0</v>
      </c>
      <c r="F79" s="134">
        <f>'Impor_Pangan Masuk'!F84</f>
        <v>430</v>
      </c>
      <c r="G79" s="134">
        <f>'Ekspor_Pangan Keluar'!F84</f>
        <v>0</v>
      </c>
      <c r="H79" s="134">
        <f t="shared" ref="H79:H80" si="21">D79-E79+F79-G79</f>
        <v>430</v>
      </c>
      <c r="I79" s="134">
        <f>'Pemakaian Dalam Negeri'!E91</f>
        <v>0</v>
      </c>
      <c r="J79" s="134">
        <f>'Pemakaian Dalam Negeri'!F91</f>
        <v>1.0319999999999998</v>
      </c>
      <c r="K79" s="134">
        <f>'Pemakaian Dalam Negeri'!G91</f>
        <v>0</v>
      </c>
      <c r="L79" s="134">
        <f>'Pemakaian Dalam Negeri'!H91</f>
        <v>8.6000000000000007E-2</v>
      </c>
      <c r="M79" s="134">
        <f>'Pemakaian Dalam Negeri'!I91</f>
        <v>0</v>
      </c>
      <c r="N79" s="134">
        <f>'Pemakaian Dalam Negeri'!J91</f>
        <v>428.88200000000001</v>
      </c>
      <c r="O79" s="126">
        <f t="shared" ref="O79:O80" si="22">(N79+K79)/$Q$4*1000</f>
        <v>1.7286310231555189</v>
      </c>
      <c r="P79" s="126">
        <f t="shared" ref="P79:P80" si="23">O79/365*1000</f>
        <v>4.7359754059055312</v>
      </c>
      <c r="Q79" s="122">
        <f t="shared" ref="Q79:Q80" si="24">P79/100*T79/100*U79</f>
        <v>3.484162386616581</v>
      </c>
      <c r="R79" s="126">
        <f t="shared" ref="R79:R80" si="25">P79/100*T79/100*V79</f>
        <v>0.16503927094499596</v>
      </c>
      <c r="S79" s="127">
        <f t="shared" ref="S79:S80" si="26">P79/100*T79/100*W79</f>
        <v>8.3353167143937357E-3</v>
      </c>
      <c r="T79" s="466">
        <v>88</v>
      </c>
      <c r="U79" s="471">
        <v>83.6</v>
      </c>
      <c r="V79" s="381">
        <v>3.96</v>
      </c>
      <c r="W79" s="382">
        <v>0.2</v>
      </c>
      <c r="X79" s="187"/>
      <c r="Y79" s="187"/>
      <c r="Z79" s="187"/>
      <c r="AA79" s="187"/>
      <c r="AB79" s="187"/>
      <c r="AC79" s="364"/>
      <c r="AE79" s="56"/>
      <c r="AF79" s="56"/>
      <c r="AG79" s="56"/>
      <c r="AH79" s="56"/>
    </row>
    <row r="80" spans="1:34" ht="14.1" customHeight="1" x14ac:dyDescent="0.2">
      <c r="A80" s="297">
        <v>57</v>
      </c>
      <c r="B80" s="293" t="s">
        <v>27</v>
      </c>
      <c r="C80" s="45"/>
      <c r="D80" s="133">
        <f>Produksi!F86</f>
        <v>0</v>
      </c>
      <c r="E80" s="333">
        <f>Stok!L85</f>
        <v>0</v>
      </c>
      <c r="F80" s="134">
        <f>'Impor_Pangan Masuk'!F87</f>
        <v>0</v>
      </c>
      <c r="G80" s="134">
        <f>'Ekspor_Pangan Keluar'!F87</f>
        <v>0</v>
      </c>
      <c r="H80" s="134">
        <f t="shared" si="21"/>
        <v>0</v>
      </c>
      <c r="I80" s="134">
        <f>'Pemakaian Dalam Negeri'!E92</f>
        <v>0</v>
      </c>
      <c r="J80" s="134">
        <f>'Pemakaian Dalam Negeri'!F92</f>
        <v>0</v>
      </c>
      <c r="K80" s="134">
        <f>'Pemakaian Dalam Negeri'!G92</f>
        <v>0</v>
      </c>
      <c r="L80" s="134">
        <f>'Pemakaian Dalam Negeri'!H92</f>
        <v>0</v>
      </c>
      <c r="M80" s="134">
        <f>'Pemakaian Dalam Negeri'!I92</f>
        <v>0</v>
      </c>
      <c r="N80" s="134">
        <f>'Pemakaian Dalam Negeri'!J92</f>
        <v>0</v>
      </c>
      <c r="O80" s="126">
        <f t="shared" si="22"/>
        <v>0</v>
      </c>
      <c r="P80" s="126">
        <f t="shared" si="23"/>
        <v>0</v>
      </c>
      <c r="Q80" s="122">
        <f t="shared" si="24"/>
        <v>0</v>
      </c>
      <c r="R80" s="126">
        <f t="shared" si="25"/>
        <v>0</v>
      </c>
      <c r="S80" s="127">
        <f t="shared" si="26"/>
        <v>0</v>
      </c>
      <c r="T80" s="468">
        <v>87.5</v>
      </c>
      <c r="U80" s="473">
        <v>43</v>
      </c>
      <c r="V80" s="351">
        <v>1.4</v>
      </c>
      <c r="W80" s="386">
        <v>0.2</v>
      </c>
      <c r="X80" s="187"/>
      <c r="Y80" s="187"/>
      <c r="Z80" s="187"/>
      <c r="AA80" s="187"/>
      <c r="AB80" s="187"/>
      <c r="AC80" s="364"/>
      <c r="AE80" s="56"/>
      <c r="AF80" s="56"/>
      <c r="AG80" s="56"/>
      <c r="AH80" s="56"/>
    </row>
    <row r="81" spans="1:34" s="163" customFormat="1" x14ac:dyDescent="0.2">
      <c r="A81" s="297">
        <v>58</v>
      </c>
      <c r="B81" s="293" t="s">
        <v>95</v>
      </c>
      <c r="C81" s="45"/>
      <c r="D81" s="133">
        <f>Produksi!F87</f>
        <v>7.4</v>
      </c>
      <c r="E81" s="333">
        <f>Stok!L86</f>
        <v>0</v>
      </c>
      <c r="F81" s="134">
        <f>'Impor_Pangan Masuk'!F88</f>
        <v>0</v>
      </c>
      <c r="G81" s="134">
        <f>'Ekspor_Pangan Keluar'!F88</f>
        <v>0</v>
      </c>
      <c r="H81" s="134">
        <f t="shared" si="14"/>
        <v>7.4</v>
      </c>
      <c r="I81" s="134">
        <f>'Pemakaian Dalam Negeri'!E93</f>
        <v>0</v>
      </c>
      <c r="J81" s="134">
        <f>'Pemakaian Dalam Negeri'!F93</f>
        <v>5.2540000000000003E-2</v>
      </c>
      <c r="K81" s="134">
        <f>'Pemakaian Dalam Negeri'!G93</f>
        <v>0</v>
      </c>
      <c r="L81" s="134">
        <f>'Pemakaian Dalam Negeri'!H93</f>
        <v>0.12580000000000002</v>
      </c>
      <c r="M81" s="134">
        <f>'Pemakaian Dalam Negeri'!I93</f>
        <v>0</v>
      </c>
      <c r="N81" s="134">
        <f>'Pemakaian Dalam Negeri'!J93</f>
        <v>7.2216600000000009</v>
      </c>
      <c r="O81" s="126">
        <f t="shared" si="16"/>
        <v>2.910727313032789E-2</v>
      </c>
      <c r="P81" s="126">
        <f t="shared" si="17"/>
        <v>7.9745953781720252E-2</v>
      </c>
      <c r="Q81" s="122">
        <f t="shared" si="18"/>
        <v>3.8349829173629267E-3</v>
      </c>
      <c r="R81" s="126">
        <f t="shared" si="19"/>
        <v>1.7863093647105336E-4</v>
      </c>
      <c r="S81" s="127">
        <f t="shared" si="20"/>
        <v>6.6986601176645004E-5</v>
      </c>
      <c r="T81" s="466">
        <v>70</v>
      </c>
      <c r="U81" s="471">
        <v>6.87</v>
      </c>
      <c r="V81" s="381">
        <v>0.32</v>
      </c>
      <c r="W81" s="382">
        <v>0.12</v>
      </c>
      <c r="X81" s="187">
        <v>0</v>
      </c>
      <c r="Y81" s="187">
        <v>0.03</v>
      </c>
      <c r="Z81" s="187">
        <v>8</v>
      </c>
      <c r="AA81" s="187">
        <v>10</v>
      </c>
      <c r="AB81" s="187">
        <v>21</v>
      </c>
      <c r="AC81" s="364">
        <v>0.3</v>
      </c>
      <c r="AE81" s="351">
        <f>(55+82+89)/3</f>
        <v>75.333333333333329</v>
      </c>
      <c r="AF81" s="351">
        <f>(8+10+9)/3</f>
        <v>9</v>
      </c>
      <c r="AG81" s="351">
        <f>(0.2+0.5+0.5)/3</f>
        <v>0.39999999999999997</v>
      </c>
      <c r="AH81" s="351">
        <f>(0.2+0.2+0.1)/3</f>
        <v>0.16666666666666666</v>
      </c>
    </row>
    <row r="82" spans="1:34" s="163" customFormat="1" x14ac:dyDescent="0.2">
      <c r="A82" s="297">
        <v>59</v>
      </c>
      <c r="B82" s="282" t="s">
        <v>96</v>
      </c>
      <c r="C82" s="45"/>
      <c r="D82" s="133">
        <f>Produksi!F88</f>
        <v>0</v>
      </c>
      <c r="E82" s="333">
        <f>Stok!L87</f>
        <v>0</v>
      </c>
      <c r="F82" s="134">
        <f>'Impor_Pangan Masuk'!F89</f>
        <v>128</v>
      </c>
      <c r="G82" s="134">
        <f>'Ekspor_Pangan Keluar'!F89</f>
        <v>0</v>
      </c>
      <c r="H82" s="134">
        <f t="shared" si="14"/>
        <v>128</v>
      </c>
      <c r="I82" s="134">
        <f>'Pemakaian Dalam Negeri'!E94</f>
        <v>0</v>
      </c>
      <c r="J82" s="134">
        <f>'Pemakaian Dalam Negeri'!F94</f>
        <v>3.6736</v>
      </c>
      <c r="K82" s="134">
        <f>'Pemakaian Dalam Negeri'!G94</f>
        <v>0</v>
      </c>
      <c r="L82" s="134">
        <f>'Pemakaian Dalam Negeri'!H94</f>
        <v>2.5600000000000001E-2</v>
      </c>
      <c r="M82" s="134">
        <f>'Pemakaian Dalam Negeri'!I94</f>
        <v>0</v>
      </c>
      <c r="N82" s="134">
        <f>'Pemakaian Dalam Negeri'!J94</f>
        <v>124.30080000000001</v>
      </c>
      <c r="O82" s="126">
        <f t="shared" si="16"/>
        <v>0.50100078595755826</v>
      </c>
      <c r="P82" s="126">
        <f t="shared" si="17"/>
        <v>1.3726048930344061</v>
      </c>
      <c r="Q82" s="122">
        <f t="shared" si="18"/>
        <v>3.6648550644018645</v>
      </c>
      <c r="R82" s="126">
        <f t="shared" si="19"/>
        <v>0.19079208013178245</v>
      </c>
      <c r="S82" s="127">
        <f t="shared" si="20"/>
        <v>3.1569912539791342E-2</v>
      </c>
      <c r="T82" s="466">
        <v>100</v>
      </c>
      <c r="U82" s="471">
        <v>267</v>
      </c>
      <c r="V82" s="381">
        <v>13.9</v>
      </c>
      <c r="W82" s="382">
        <v>2.2999999999999998</v>
      </c>
      <c r="X82" s="187">
        <v>335</v>
      </c>
      <c r="Y82" s="187">
        <v>0.13</v>
      </c>
      <c r="Z82" s="187">
        <v>21</v>
      </c>
      <c r="AA82" s="187">
        <v>49</v>
      </c>
      <c r="AB82" s="187">
        <v>347</v>
      </c>
      <c r="AC82" s="364">
        <v>0.7</v>
      </c>
      <c r="AE82" s="56">
        <v>100</v>
      </c>
      <c r="AF82" s="56">
        <v>171</v>
      </c>
      <c r="AG82" s="56">
        <v>11</v>
      </c>
      <c r="AH82" s="56">
        <v>2.2000000000000002</v>
      </c>
    </row>
    <row r="83" spans="1:34" s="163" customFormat="1" x14ac:dyDescent="0.2">
      <c r="A83" s="297">
        <v>60</v>
      </c>
      <c r="B83" s="282" t="s">
        <v>97</v>
      </c>
      <c r="C83" s="45"/>
      <c r="D83" s="133">
        <f>Produksi!F89</f>
        <v>76</v>
      </c>
      <c r="E83" s="333">
        <f>Stok!L88</f>
        <v>0</v>
      </c>
      <c r="F83" s="134">
        <f>'Impor_Pangan Masuk'!F90</f>
        <v>453.62480858847238</v>
      </c>
      <c r="G83" s="134">
        <f>'Ekspor_Pangan Keluar'!F90</f>
        <v>0</v>
      </c>
      <c r="H83" s="134">
        <f t="shared" si="14"/>
        <v>529.62480858847243</v>
      </c>
      <c r="I83" s="134">
        <f>'Pemakaian Dalam Negeri'!E95</f>
        <v>0</v>
      </c>
      <c r="J83" s="134">
        <f>'Pemakaian Dalam Negeri'!F95</f>
        <v>2.330349157789279</v>
      </c>
      <c r="K83" s="134">
        <f>'Pemakaian Dalam Negeri'!G95</f>
        <v>0</v>
      </c>
      <c r="L83" s="134">
        <f>'Pemakaian Dalam Negeri'!H95</f>
        <v>10.433608729192906</v>
      </c>
      <c r="M83" s="134">
        <f>'Pemakaian Dalam Negeri'!I95</f>
        <v>0</v>
      </c>
      <c r="N83" s="134">
        <f>'Pemakaian Dalam Negeri'!J95</f>
        <v>516.86085070149022</v>
      </c>
      <c r="O83" s="126">
        <f t="shared" si="16"/>
        <v>2.0832343189435534</v>
      </c>
      <c r="P83" s="126">
        <f t="shared" si="17"/>
        <v>5.7074912847768591</v>
      </c>
      <c r="Q83" s="122">
        <f t="shared" si="18"/>
        <v>1.1814506959488098</v>
      </c>
      <c r="R83" s="126">
        <f t="shared" si="19"/>
        <v>0.11814506959488096</v>
      </c>
      <c r="S83" s="127">
        <f t="shared" si="20"/>
        <v>1.9690844932480162E-2</v>
      </c>
      <c r="T83" s="466">
        <v>75</v>
      </c>
      <c r="U83" s="471">
        <v>27.6</v>
      </c>
      <c r="V83" s="381">
        <v>2.76</v>
      </c>
      <c r="W83" s="382">
        <v>0.46</v>
      </c>
      <c r="X83" s="187"/>
      <c r="Y83" s="187"/>
      <c r="Z83" s="187"/>
      <c r="AA83" s="187"/>
      <c r="AB83" s="187"/>
      <c r="AC83" s="364"/>
      <c r="AE83" s="56">
        <v>92</v>
      </c>
      <c r="AF83" s="56">
        <v>31</v>
      </c>
      <c r="AG83" s="56">
        <v>2.2999999999999998</v>
      </c>
      <c r="AH83" s="56">
        <v>0.1</v>
      </c>
    </row>
    <row r="84" spans="1:34" ht="14.1" customHeight="1" x14ac:dyDescent="0.2">
      <c r="A84" s="297">
        <v>61</v>
      </c>
      <c r="B84" s="282" t="s">
        <v>98</v>
      </c>
      <c r="C84" s="45"/>
      <c r="D84" s="133">
        <f>Produksi!F90</f>
        <v>0</v>
      </c>
      <c r="E84" s="333">
        <f>Stok!L89</f>
        <v>0</v>
      </c>
      <c r="F84" s="134">
        <f>'Impor_Pangan Masuk'!F91</f>
        <v>1745</v>
      </c>
      <c r="G84" s="134">
        <f>'Ekspor_Pangan Keluar'!F91</f>
        <v>0</v>
      </c>
      <c r="H84" s="134">
        <f t="shared" si="14"/>
        <v>1745</v>
      </c>
      <c r="I84" s="134">
        <f>'Pemakaian Dalam Negeri'!E96</f>
        <v>0</v>
      </c>
      <c r="J84" s="134">
        <f>'Pemakaian Dalam Negeri'!F96</f>
        <v>20.765499999999999</v>
      </c>
      <c r="K84" s="134">
        <f>'Pemakaian Dalam Negeri'!G96</f>
        <v>0</v>
      </c>
      <c r="L84" s="134">
        <f>'Pemakaian Dalam Negeri'!H96</f>
        <v>19.718499999999999</v>
      </c>
      <c r="M84" s="134">
        <f>'Pemakaian Dalam Negeri'!I96</f>
        <v>0</v>
      </c>
      <c r="N84" s="134">
        <f>'Pemakaian Dalam Negeri'!J96</f>
        <v>1704.5160000000001</v>
      </c>
      <c r="O84" s="126">
        <f t="shared" si="16"/>
        <v>6.8701396586122812</v>
      </c>
      <c r="P84" s="126">
        <f t="shared" si="17"/>
        <v>18.822300434554194</v>
      </c>
      <c r="Q84" s="122">
        <f t="shared" si="18"/>
        <v>8.3322559563684511</v>
      </c>
      <c r="R84" s="126">
        <f t="shared" si="19"/>
        <v>0.28158161450093072</v>
      </c>
      <c r="S84" s="127">
        <f t="shared" si="20"/>
        <v>2.7198224127930812E-2</v>
      </c>
      <c r="T84" s="466">
        <v>85</v>
      </c>
      <c r="U84" s="471">
        <v>52.08</v>
      </c>
      <c r="V84" s="381">
        <v>1.76</v>
      </c>
      <c r="W84" s="382">
        <v>0.17</v>
      </c>
      <c r="X84" s="187">
        <v>0</v>
      </c>
      <c r="Y84" s="187">
        <v>0.11</v>
      </c>
      <c r="Z84" s="187">
        <v>17</v>
      </c>
      <c r="AA84" s="187">
        <v>11</v>
      </c>
      <c r="AB84" s="187">
        <v>56</v>
      </c>
      <c r="AC84" s="364">
        <v>0.7</v>
      </c>
      <c r="AE84" s="56">
        <v>85</v>
      </c>
      <c r="AF84" s="56">
        <v>62</v>
      </c>
      <c r="AG84" s="56">
        <v>2.1</v>
      </c>
      <c r="AH84" s="56">
        <v>0.2</v>
      </c>
    </row>
    <row r="85" spans="1:34" ht="14.1" customHeight="1" x14ac:dyDescent="0.2">
      <c r="A85" s="297">
        <v>62</v>
      </c>
      <c r="B85" s="293" t="s">
        <v>99</v>
      </c>
      <c r="C85" s="45"/>
      <c r="D85" s="133">
        <f>Produksi!F91</f>
        <v>0</v>
      </c>
      <c r="E85" s="333">
        <f>Stok!L90</f>
        <v>0</v>
      </c>
      <c r="F85" s="134">
        <f>'Impor_Pangan Masuk'!F92</f>
        <v>467.37101379105854</v>
      </c>
      <c r="G85" s="134">
        <f>'Ekspor_Pangan Keluar'!F92</f>
        <v>0</v>
      </c>
      <c r="H85" s="134">
        <f t="shared" si="14"/>
        <v>467.37101379105854</v>
      </c>
      <c r="I85" s="134">
        <f>'Pemakaian Dalam Negeri'!E97</f>
        <v>0</v>
      </c>
      <c r="J85" s="134">
        <f>'Pemakaian Dalam Negeri'!F97</f>
        <v>0</v>
      </c>
      <c r="K85" s="134">
        <f>'Pemakaian Dalam Negeri'!G97</f>
        <v>0</v>
      </c>
      <c r="L85" s="134">
        <f>'Pemakaian Dalam Negeri'!H97</f>
        <v>11.26364143236451</v>
      </c>
      <c r="M85" s="134">
        <f>'Pemakaian Dalam Negeri'!I97</f>
        <v>0</v>
      </c>
      <c r="N85" s="134">
        <f>'Pemakaian Dalam Negeri'!J97</f>
        <v>456.10737235869402</v>
      </c>
      <c r="O85" s="126">
        <f t="shared" si="16"/>
        <v>1.8383642907587272</v>
      </c>
      <c r="P85" s="126">
        <f t="shared" si="17"/>
        <v>5.0366144952293892</v>
      </c>
      <c r="Q85" s="122">
        <f t="shared" si="18"/>
        <v>0.67994295685596762</v>
      </c>
      <c r="R85" s="126">
        <f t="shared" si="19"/>
        <v>3.9663339149931441E-2</v>
      </c>
      <c r="S85" s="127">
        <f t="shared" si="20"/>
        <v>5.666191307133063E-3</v>
      </c>
      <c r="T85" s="466">
        <v>75</v>
      </c>
      <c r="U85" s="471">
        <v>18</v>
      </c>
      <c r="V85" s="381">
        <v>1.05</v>
      </c>
      <c r="W85" s="382">
        <v>0.15</v>
      </c>
      <c r="X85" s="187">
        <v>80</v>
      </c>
      <c r="Y85" s="187">
        <v>0.06</v>
      </c>
      <c r="Z85" s="187">
        <v>50</v>
      </c>
      <c r="AA85" s="187">
        <v>46</v>
      </c>
      <c r="AB85" s="187">
        <v>31</v>
      </c>
      <c r="AC85" s="364">
        <v>0.5</v>
      </c>
      <c r="AE85" s="351">
        <v>75</v>
      </c>
      <c r="AF85" s="351">
        <v>51</v>
      </c>
      <c r="AG85" s="351">
        <v>2.5</v>
      </c>
      <c r="AH85" s="351">
        <v>1.1000000000000001</v>
      </c>
    </row>
    <row r="86" spans="1:34" ht="14.1" customHeight="1" x14ac:dyDescent="0.2">
      <c r="A86" s="297">
        <v>63</v>
      </c>
      <c r="B86" s="293" t="s">
        <v>100</v>
      </c>
      <c r="C86" s="45"/>
      <c r="D86" s="133">
        <f>Produksi!F92</f>
        <v>0</v>
      </c>
      <c r="E86" s="333">
        <f>Stok!L91</f>
        <v>0</v>
      </c>
      <c r="F86" s="134">
        <f>'Impor_Pangan Masuk'!F93</f>
        <v>1329</v>
      </c>
      <c r="G86" s="134">
        <f>'Ekspor_Pangan Keluar'!F93</f>
        <v>0</v>
      </c>
      <c r="H86" s="134">
        <f t="shared" si="14"/>
        <v>1329</v>
      </c>
      <c r="I86" s="134">
        <f>'Pemakaian Dalam Negeri'!E98</f>
        <v>0</v>
      </c>
      <c r="J86" s="134">
        <f>'Pemakaian Dalam Negeri'!F98</f>
        <v>9.4359000000000002</v>
      </c>
      <c r="K86" s="134">
        <f>'Pemakaian Dalam Negeri'!G98</f>
        <v>0</v>
      </c>
      <c r="L86" s="134">
        <f>'Pemakaian Dalam Negeri'!H98</f>
        <v>22.460099999999997</v>
      </c>
      <c r="M86" s="134">
        <f>'Pemakaian Dalam Negeri'!I98</f>
        <v>0</v>
      </c>
      <c r="N86" s="134">
        <f>'Pemakaian Dalam Negeri'!J98</f>
        <v>1297.104</v>
      </c>
      <c r="O86" s="126">
        <f t="shared" si="16"/>
        <v>5.2280445779004854</v>
      </c>
      <c r="P86" s="126">
        <f t="shared" si="17"/>
        <v>14.323409802467083</v>
      </c>
      <c r="Q86" s="122">
        <f t="shared" si="18"/>
        <v>2.5853754693453084</v>
      </c>
      <c r="R86" s="126">
        <f t="shared" si="19"/>
        <v>0.1292687734672654</v>
      </c>
      <c r="S86" s="127">
        <f t="shared" si="20"/>
        <v>4.0821717937031182E-2</v>
      </c>
      <c r="T86" s="466">
        <v>95</v>
      </c>
      <c r="U86" s="471">
        <v>19</v>
      </c>
      <c r="V86" s="381">
        <v>0.95</v>
      </c>
      <c r="W86" s="382">
        <v>0.3</v>
      </c>
      <c r="X86" s="187">
        <v>1500</v>
      </c>
      <c r="Y86" s="187">
        <v>0.06</v>
      </c>
      <c r="Z86" s="187">
        <v>40</v>
      </c>
      <c r="AA86" s="187">
        <v>5</v>
      </c>
      <c r="AB86" s="187">
        <v>27</v>
      </c>
      <c r="AC86" s="364">
        <v>0.5</v>
      </c>
      <c r="AE86" s="353"/>
      <c r="AF86" s="353"/>
      <c r="AG86" s="353"/>
      <c r="AH86" s="353"/>
    </row>
    <row r="87" spans="1:34" ht="14.1" customHeight="1" x14ac:dyDescent="0.2">
      <c r="A87" s="297">
        <v>64</v>
      </c>
      <c r="B87" s="293" t="s">
        <v>101</v>
      </c>
      <c r="C87" s="45"/>
      <c r="D87" s="133">
        <f>Produksi!F93</f>
        <v>0</v>
      </c>
      <c r="E87" s="333">
        <f>Stok!L92</f>
        <v>0</v>
      </c>
      <c r="F87" s="134">
        <f>'Impor_Pangan Masuk'!F94</f>
        <v>440.85614403821103</v>
      </c>
      <c r="G87" s="134">
        <f>'Ekspor_Pangan Keluar'!F94</f>
        <v>0</v>
      </c>
      <c r="H87" s="134">
        <f t="shared" si="14"/>
        <v>440.85614403821103</v>
      </c>
      <c r="I87" s="134">
        <f>'Pemakaian Dalam Negeri'!E99</f>
        <v>0</v>
      </c>
      <c r="J87" s="134">
        <f>'Pemakaian Dalam Negeri'!F99</f>
        <v>0</v>
      </c>
      <c r="K87" s="134">
        <f>'Pemakaian Dalam Negeri'!G99</f>
        <v>0</v>
      </c>
      <c r="L87" s="134">
        <f>'Pemakaian Dalam Negeri'!H99</f>
        <v>10.624633071320886</v>
      </c>
      <c r="M87" s="134">
        <f>'Pemakaian Dalam Negeri'!I99</f>
        <v>0</v>
      </c>
      <c r="N87" s="134">
        <f>'Pemakaian Dalam Negeri'!J99</f>
        <v>430.23151096689014</v>
      </c>
      <c r="O87" s="126">
        <f t="shared" si="16"/>
        <v>1.734070296716673</v>
      </c>
      <c r="P87" s="126">
        <f t="shared" si="17"/>
        <v>4.750877525251159</v>
      </c>
      <c r="Q87" s="122">
        <f t="shared" si="18"/>
        <v>1.204062399999654</v>
      </c>
      <c r="R87" s="126">
        <f t="shared" si="19"/>
        <v>3.344617777776817E-2</v>
      </c>
      <c r="S87" s="127">
        <f t="shared" si="20"/>
        <v>2.0067706666660898E-2</v>
      </c>
      <c r="T87" s="466">
        <v>88</v>
      </c>
      <c r="U87" s="471">
        <v>28.8</v>
      </c>
      <c r="V87" s="381">
        <v>0.8</v>
      </c>
      <c r="W87" s="382">
        <v>0.48</v>
      </c>
      <c r="X87" s="187">
        <v>12000</v>
      </c>
      <c r="Y87" s="187">
        <v>0.06</v>
      </c>
      <c r="Z87" s="187">
        <v>6</v>
      </c>
      <c r="AA87" s="187">
        <v>39</v>
      </c>
      <c r="AB87" s="187">
        <v>37</v>
      </c>
      <c r="AC87" s="364">
        <v>0.8</v>
      </c>
      <c r="AE87" s="356">
        <v>80</v>
      </c>
      <c r="AF87" s="356">
        <v>36</v>
      </c>
      <c r="AG87" s="356">
        <v>1</v>
      </c>
      <c r="AH87" s="356">
        <v>0.6</v>
      </c>
    </row>
    <row r="88" spans="1:34" ht="14.1" customHeight="1" x14ac:dyDescent="0.2">
      <c r="A88" s="297">
        <v>65</v>
      </c>
      <c r="B88" s="293" t="s">
        <v>166</v>
      </c>
      <c r="C88" s="45"/>
      <c r="D88" s="133">
        <f>Produksi!F94</f>
        <v>78.400000000000006</v>
      </c>
      <c r="E88" s="333">
        <f>Stok!L93</f>
        <v>0</v>
      </c>
      <c r="F88" s="134">
        <f>'Impor_Pangan Masuk'!F95</f>
        <v>2420</v>
      </c>
      <c r="G88" s="134">
        <f>'Ekspor_Pangan Keluar'!F95</f>
        <v>0</v>
      </c>
      <c r="H88" s="134">
        <f t="shared" si="14"/>
        <v>2498.4</v>
      </c>
      <c r="I88" s="134">
        <f>'Pemakaian Dalam Negeri'!E100</f>
        <v>0</v>
      </c>
      <c r="J88" s="134">
        <f>'Pemakaian Dalam Negeri'!F100</f>
        <v>17.73864</v>
      </c>
      <c r="K88" s="134">
        <f>'Pemakaian Dalam Negeri'!G100</f>
        <v>0</v>
      </c>
      <c r="L88" s="134">
        <f>'Pemakaian Dalam Negeri'!H100</f>
        <v>38.725200000000001</v>
      </c>
      <c r="M88" s="134">
        <f>'Pemakaian Dalam Negeri'!I100</f>
        <v>0</v>
      </c>
      <c r="N88" s="134">
        <f>'Pemakaian Dalam Negeri'!J100</f>
        <v>2441.9361600000002</v>
      </c>
      <c r="O88" s="126">
        <f t="shared" si="16"/>
        <v>9.8423496503496519</v>
      </c>
      <c r="P88" s="126">
        <f t="shared" si="17"/>
        <v>26.965341507807267</v>
      </c>
      <c r="Q88" s="122">
        <f t="shared" si="18"/>
        <v>7.1053674873072152</v>
      </c>
      <c r="R88" s="126">
        <f t="shared" si="19"/>
        <v>0.22920540281636179</v>
      </c>
      <c r="S88" s="127">
        <f t="shared" si="20"/>
        <v>9.1682161126544717E-2</v>
      </c>
      <c r="T88" s="466">
        <v>85</v>
      </c>
      <c r="U88" s="471">
        <v>31</v>
      </c>
      <c r="V88" s="381">
        <v>1</v>
      </c>
      <c r="W88" s="382">
        <v>0.4</v>
      </c>
      <c r="X88" s="187"/>
      <c r="Y88" s="187"/>
      <c r="Z88" s="187"/>
      <c r="AA88" s="187"/>
      <c r="AB88" s="187"/>
      <c r="AC88" s="364"/>
      <c r="AE88" s="357">
        <v>85</v>
      </c>
      <c r="AF88" s="357">
        <v>36</v>
      </c>
      <c r="AG88" s="357">
        <v>1</v>
      </c>
      <c r="AH88" s="357">
        <v>0.3</v>
      </c>
    </row>
    <row r="89" spans="1:34" ht="14.1" customHeight="1" x14ac:dyDescent="0.2">
      <c r="A89" s="297">
        <v>66</v>
      </c>
      <c r="B89" s="293" t="s">
        <v>20</v>
      </c>
      <c r="C89" s="45"/>
      <c r="D89" s="133">
        <f>Produksi!F95</f>
        <v>60.7</v>
      </c>
      <c r="E89" s="333">
        <f>Stok!L94</f>
        <v>0</v>
      </c>
      <c r="F89" s="134">
        <f>'Impor_Pangan Masuk'!F96</f>
        <v>513</v>
      </c>
      <c r="G89" s="134">
        <f>'Ekspor_Pangan Keluar'!F96</f>
        <v>0</v>
      </c>
      <c r="H89" s="134">
        <f t="shared" si="14"/>
        <v>573.70000000000005</v>
      </c>
      <c r="I89" s="134">
        <f>'Pemakaian Dalam Negeri'!E101</f>
        <v>0</v>
      </c>
      <c r="J89" s="134">
        <f>'Pemakaian Dalam Negeri'!F101</f>
        <v>4.0732699999999999</v>
      </c>
      <c r="K89" s="134">
        <f>'Pemakaian Dalam Negeri'!G101</f>
        <v>0</v>
      </c>
      <c r="L89" s="134">
        <f>'Pemakaian Dalam Negeri'!H101</f>
        <v>9.8101717005369373</v>
      </c>
      <c r="M89" s="134">
        <f>'Pemakaian Dalam Negeri'!I101</f>
        <v>0</v>
      </c>
      <c r="N89" s="134">
        <f>'Pemakaian Dalam Negeri'!J101</f>
        <v>559.81655829946317</v>
      </c>
      <c r="O89" s="126">
        <f t="shared" si="16"/>
        <v>2.256369514114843</v>
      </c>
      <c r="P89" s="126">
        <f t="shared" si="17"/>
        <v>6.1818342852461452</v>
      </c>
      <c r="Q89" s="122">
        <f t="shared" si="18"/>
        <v>6.3054709709510677</v>
      </c>
      <c r="R89" s="126">
        <f t="shared" si="19"/>
        <v>0.26272795712296115</v>
      </c>
      <c r="S89" s="127">
        <f t="shared" si="20"/>
        <v>0.10509118284918446</v>
      </c>
      <c r="T89" s="466">
        <v>85</v>
      </c>
      <c r="U89" s="471">
        <v>120</v>
      </c>
      <c r="V89" s="381">
        <v>5</v>
      </c>
      <c r="W89" s="382">
        <v>2</v>
      </c>
      <c r="X89" s="187"/>
      <c r="Y89" s="187"/>
      <c r="Z89" s="187"/>
      <c r="AA89" s="187"/>
      <c r="AB89" s="187"/>
      <c r="AC89" s="364"/>
      <c r="AE89" s="351">
        <v>85</v>
      </c>
      <c r="AF89" s="351">
        <v>120</v>
      </c>
      <c r="AG89" s="351">
        <v>4.7</v>
      </c>
      <c r="AH89" s="351">
        <v>2.4</v>
      </c>
    </row>
    <row r="90" spans="1:34" ht="14.1" customHeight="1" x14ac:dyDescent="0.2">
      <c r="A90" s="297">
        <v>67</v>
      </c>
      <c r="B90" s="293" t="s">
        <v>102</v>
      </c>
      <c r="C90" s="45"/>
      <c r="D90" s="133">
        <f>Produksi!F96</f>
        <v>41.8</v>
      </c>
      <c r="E90" s="333">
        <f>Stok!L95</f>
        <v>0</v>
      </c>
      <c r="F90" s="134">
        <f>'Impor_Pangan Masuk'!F97</f>
        <v>1043.1987879352141</v>
      </c>
      <c r="G90" s="134">
        <f>'Ekspor_Pangan Keluar'!F97</f>
        <v>0</v>
      </c>
      <c r="H90" s="134">
        <f t="shared" si="14"/>
        <v>1084.9987879352141</v>
      </c>
      <c r="I90" s="134">
        <f>'Pemakaian Dalam Negeri'!E102</f>
        <v>0</v>
      </c>
      <c r="J90" s="134">
        <f>'Pemakaian Dalam Negeri'!F102</f>
        <v>7.9204911519270631</v>
      </c>
      <c r="K90" s="134">
        <f>'Pemakaian Dalam Negeri'!G102</f>
        <v>0</v>
      </c>
      <c r="L90" s="134">
        <f>'Pemakaian Dalam Negeri'!H102</f>
        <v>18.227979637311595</v>
      </c>
      <c r="M90" s="134">
        <f>'Pemakaian Dalam Negeri'!I102</f>
        <v>0</v>
      </c>
      <c r="N90" s="134">
        <f>'Pemakaian Dalam Negeri'!J102</f>
        <v>1058.8503171459754</v>
      </c>
      <c r="O90" s="126">
        <f t="shared" si="16"/>
        <v>4.2677508197979694</v>
      </c>
      <c r="P90" s="126">
        <f t="shared" si="17"/>
        <v>11.692467999446492</v>
      </c>
      <c r="Q90" s="122">
        <f t="shared" si="18"/>
        <v>3.7953400352163333</v>
      </c>
      <c r="R90" s="126">
        <f t="shared" si="19"/>
        <v>0.15584189048382263</v>
      </c>
      <c r="S90" s="127">
        <f t="shared" si="20"/>
        <v>6.0017438241158842E-2</v>
      </c>
      <c r="T90" s="466">
        <v>87</v>
      </c>
      <c r="U90" s="475">
        <v>37.31</v>
      </c>
      <c r="V90" s="350">
        <v>1.532</v>
      </c>
      <c r="W90" s="375">
        <v>0.59</v>
      </c>
      <c r="X90" s="187">
        <v>30</v>
      </c>
      <c r="Y90" s="187">
        <v>0.04</v>
      </c>
      <c r="Z90" s="187">
        <v>5</v>
      </c>
      <c r="AA90" s="187">
        <v>15</v>
      </c>
      <c r="AB90" s="187">
        <v>37</v>
      </c>
      <c r="AC90" s="364">
        <v>0.4</v>
      </c>
      <c r="AE90" s="351">
        <v>100</v>
      </c>
      <c r="AF90" s="351">
        <v>28</v>
      </c>
      <c r="AG90" s="351">
        <v>1.1000000000000001</v>
      </c>
      <c r="AH90" s="351">
        <v>0.2</v>
      </c>
    </row>
    <row r="91" spans="1:34" ht="14.1" customHeight="1" x14ac:dyDescent="0.2">
      <c r="A91" s="297">
        <v>68</v>
      </c>
      <c r="B91" s="296" t="s">
        <v>103</v>
      </c>
      <c r="C91" s="45"/>
      <c r="D91" s="133">
        <f>Produksi!F97</f>
        <v>0</v>
      </c>
      <c r="E91" s="333">
        <f>Stok!L96</f>
        <v>0</v>
      </c>
      <c r="F91" s="134">
        <f>'Impor_Pangan Masuk'!F98</f>
        <v>199.41200385185212</v>
      </c>
      <c r="G91" s="134">
        <f>'Ekspor_Pangan Keluar'!F98</f>
        <v>0</v>
      </c>
      <c r="H91" s="134">
        <f t="shared" si="14"/>
        <v>199.41200385185212</v>
      </c>
      <c r="I91" s="134">
        <f>'Pemakaian Dalam Negeri'!E103</f>
        <v>0</v>
      </c>
      <c r="J91" s="134">
        <f>'Pemakaian Dalam Negeri'!F103</f>
        <v>0</v>
      </c>
      <c r="K91" s="134">
        <f>'Pemakaian Dalam Negeri'!G103</f>
        <v>0</v>
      </c>
      <c r="L91" s="134">
        <f>'Pemakaian Dalam Negeri'!H103</f>
        <v>4.8058292928296362</v>
      </c>
      <c r="M91" s="134">
        <f>'Pemakaian Dalam Negeri'!I103</f>
        <v>0</v>
      </c>
      <c r="N91" s="134">
        <f>'Pemakaian Dalam Negeri'!J103</f>
        <v>194.60617455902249</v>
      </c>
      <c r="O91" s="126">
        <f t="shared" si="16"/>
        <v>0.78437022453808869</v>
      </c>
      <c r="P91" s="126">
        <f t="shared" si="17"/>
        <v>2.1489595192824349</v>
      </c>
      <c r="Q91" s="122">
        <f t="shared" si="18"/>
        <v>0.12339325559719742</v>
      </c>
      <c r="R91" s="126">
        <f t="shared" si="19"/>
        <v>1.1778447125187027E-2</v>
      </c>
      <c r="S91" s="127">
        <f t="shared" si="20"/>
        <v>2.8043921726635776E-3</v>
      </c>
      <c r="T91" s="466">
        <v>87</v>
      </c>
      <c r="U91" s="471">
        <v>6.6</v>
      </c>
      <c r="V91" s="381">
        <v>0.63</v>
      </c>
      <c r="W91" s="382">
        <v>0.15</v>
      </c>
      <c r="X91" s="187">
        <v>6460</v>
      </c>
      <c r="Y91" s="187">
        <v>0.09</v>
      </c>
      <c r="Z91" s="187">
        <v>102</v>
      </c>
      <c r="AA91" s="187">
        <v>220</v>
      </c>
      <c r="AB91" s="187">
        <v>38</v>
      </c>
      <c r="AC91" s="364">
        <v>2.9</v>
      </c>
      <c r="AE91" s="56">
        <v>87</v>
      </c>
      <c r="AF91" s="56">
        <v>28</v>
      </c>
      <c r="AG91" s="56">
        <v>2.2999999999999998</v>
      </c>
      <c r="AH91" s="56">
        <v>0.3</v>
      </c>
    </row>
    <row r="92" spans="1:34" s="163" customFormat="1" x14ac:dyDescent="0.2">
      <c r="A92" s="297">
        <v>69</v>
      </c>
      <c r="B92" s="293" t="s">
        <v>577</v>
      </c>
      <c r="C92" s="45"/>
      <c r="D92" s="133">
        <f>Produksi!F98</f>
        <v>0</v>
      </c>
      <c r="E92" s="333">
        <f>Stok!L97</f>
        <v>0</v>
      </c>
      <c r="F92" s="134">
        <f>'Impor_Pangan Masuk'!F99</f>
        <v>0</v>
      </c>
      <c r="G92" s="134">
        <f>'Ekspor_Pangan Keluar'!F99</f>
        <v>0</v>
      </c>
      <c r="H92" s="134">
        <f t="shared" si="14"/>
        <v>0</v>
      </c>
      <c r="I92" s="134">
        <f>'Pemakaian Dalam Negeri'!E104</f>
        <v>0</v>
      </c>
      <c r="J92" s="134">
        <f>'Pemakaian Dalam Negeri'!F104</f>
        <v>0</v>
      </c>
      <c r="K92" s="134">
        <f>'Pemakaian Dalam Negeri'!G104</f>
        <v>0</v>
      </c>
      <c r="L92" s="134">
        <f>'Pemakaian Dalam Negeri'!H104</f>
        <v>0</v>
      </c>
      <c r="M92" s="134">
        <f>'Pemakaian Dalam Negeri'!I104</f>
        <v>0</v>
      </c>
      <c r="N92" s="134">
        <f>'Pemakaian Dalam Negeri'!J104</f>
        <v>0</v>
      </c>
      <c r="O92" s="126">
        <f t="shared" si="16"/>
        <v>0</v>
      </c>
      <c r="P92" s="126">
        <f t="shared" si="17"/>
        <v>0</v>
      </c>
      <c r="Q92" s="122">
        <f t="shared" si="18"/>
        <v>0</v>
      </c>
      <c r="R92" s="126">
        <f t="shared" si="19"/>
        <v>0</v>
      </c>
      <c r="S92" s="127">
        <f t="shared" si="20"/>
        <v>0</v>
      </c>
      <c r="T92" s="466">
        <v>67</v>
      </c>
      <c r="U92" s="471">
        <v>29</v>
      </c>
      <c r="V92" s="381">
        <v>1.8</v>
      </c>
      <c r="W92" s="382">
        <v>0.7</v>
      </c>
      <c r="X92" s="187">
        <v>1365</v>
      </c>
      <c r="Y92" s="187">
        <v>0.09</v>
      </c>
      <c r="Z92" s="187">
        <v>37</v>
      </c>
      <c r="AA92" s="187">
        <v>55</v>
      </c>
      <c r="AB92" s="187">
        <v>39</v>
      </c>
      <c r="AC92" s="364">
        <v>7.2</v>
      </c>
      <c r="AE92" s="351">
        <v>67</v>
      </c>
      <c r="AF92" s="351">
        <v>41</v>
      </c>
      <c r="AG92" s="351">
        <v>2</v>
      </c>
      <c r="AH92" s="351">
        <v>0.3</v>
      </c>
    </row>
    <row r="93" spans="1:34" ht="14.1" customHeight="1" x14ac:dyDescent="0.2">
      <c r="A93" s="297">
        <v>70</v>
      </c>
      <c r="B93" s="293" t="s">
        <v>105</v>
      </c>
      <c r="C93" s="45"/>
      <c r="D93" s="133">
        <f>Produksi!F99</f>
        <v>270.8</v>
      </c>
      <c r="E93" s="333">
        <f>Stok!L98</f>
        <v>0</v>
      </c>
      <c r="F93" s="134">
        <f>'Impor_Pangan Masuk'!F100</f>
        <v>880.30989008076858</v>
      </c>
      <c r="G93" s="134">
        <f>'Ekspor_Pangan Keluar'!F100</f>
        <v>0</v>
      </c>
      <c r="H93" s="134">
        <f t="shared" si="14"/>
        <v>1151.1098900807685</v>
      </c>
      <c r="I93" s="134">
        <f>'Pemakaian Dalam Negeri'!E105</f>
        <v>0</v>
      </c>
      <c r="J93" s="134">
        <f>'Pemakaian Dalam Negeri'!F105</f>
        <v>6.676437362468457</v>
      </c>
      <c r="K93" s="134">
        <f>'Pemakaian Dalam Negeri'!G105</f>
        <v>0</v>
      </c>
      <c r="L93" s="134">
        <f>'Pemakaian Dalam Negeri'!H105</f>
        <v>21.065310988478064</v>
      </c>
      <c r="M93" s="134">
        <f>'Pemakaian Dalam Negeri'!I105</f>
        <v>0</v>
      </c>
      <c r="N93" s="134">
        <f>'Pemakaian Dalam Negeri'!J105</f>
        <v>1123.3681417298219</v>
      </c>
      <c r="O93" s="126">
        <f t="shared" si="16"/>
        <v>4.5277932396760319</v>
      </c>
      <c r="P93" s="126">
        <f t="shared" si="17"/>
        <v>12.404912985413786</v>
      </c>
      <c r="Q93" s="122">
        <f t="shared" si="18"/>
        <v>1.4588177670846612</v>
      </c>
      <c r="R93" s="126">
        <f t="shared" si="19"/>
        <v>0.17714215743170886</v>
      </c>
      <c r="S93" s="127">
        <f t="shared" si="20"/>
        <v>3.6470444177116527E-2</v>
      </c>
      <c r="T93" s="466">
        <v>70</v>
      </c>
      <c r="U93" s="471">
        <v>16.8</v>
      </c>
      <c r="V93" s="381">
        <v>2.04</v>
      </c>
      <c r="W93" s="382">
        <v>0.42</v>
      </c>
      <c r="X93" s="187">
        <v>6300</v>
      </c>
      <c r="Y93" s="187">
        <v>7.0000000000000007E-2</v>
      </c>
      <c r="Z93" s="187">
        <v>32</v>
      </c>
      <c r="AA93" s="187">
        <v>73</v>
      </c>
      <c r="AB93" s="187">
        <v>50</v>
      </c>
      <c r="AC93" s="364">
        <v>2.5</v>
      </c>
      <c r="AE93" s="351">
        <v>60</v>
      </c>
      <c r="AF93" s="351">
        <v>28</v>
      </c>
      <c r="AG93" s="351">
        <v>3.4</v>
      </c>
      <c r="AH93" s="351">
        <v>0.7</v>
      </c>
    </row>
    <row r="94" spans="1:34" ht="14.1" customHeight="1" x14ac:dyDescent="0.2">
      <c r="A94" s="297">
        <v>71</v>
      </c>
      <c r="B94" s="293" t="s">
        <v>106</v>
      </c>
      <c r="C94" s="45"/>
      <c r="D94" s="133">
        <f>Produksi!F100</f>
        <v>0</v>
      </c>
      <c r="E94" s="333">
        <f>Stok!L99</f>
        <v>0</v>
      </c>
      <c r="F94" s="134">
        <f>'Impor_Pangan Masuk'!F101</f>
        <v>1787</v>
      </c>
      <c r="G94" s="134">
        <f>'Ekspor_Pangan Keluar'!F101</f>
        <v>0</v>
      </c>
      <c r="H94" s="134">
        <f t="shared" si="14"/>
        <v>1787</v>
      </c>
      <c r="I94" s="134">
        <f>'Pemakaian Dalam Negeri'!E106</f>
        <v>0</v>
      </c>
      <c r="J94" s="134">
        <f>'Pemakaian Dalam Negeri'!F106</f>
        <v>6.9693000000000005</v>
      </c>
      <c r="K94" s="134">
        <f>'Pemakaian Dalam Negeri'!G106</f>
        <v>0</v>
      </c>
      <c r="L94" s="134">
        <f>'Pemakaian Dalam Negeri'!H106</f>
        <v>36.0974</v>
      </c>
      <c r="M94" s="134">
        <f>'Pemakaian Dalam Negeri'!I106</f>
        <v>0</v>
      </c>
      <c r="N94" s="134">
        <f>'Pemakaian Dalam Negeri'!J106</f>
        <v>1743.9332999999999</v>
      </c>
      <c r="O94" s="126">
        <f t="shared" si="16"/>
        <v>7.0290131194453958</v>
      </c>
      <c r="P94" s="126">
        <f t="shared" si="17"/>
        <v>19.257570190261358</v>
      </c>
      <c r="Q94" s="122">
        <f t="shared" si="18"/>
        <v>3.51835807376075</v>
      </c>
      <c r="R94" s="126">
        <f t="shared" si="19"/>
        <v>0.15078677458974643</v>
      </c>
      <c r="S94" s="127">
        <f t="shared" si="20"/>
        <v>1.6754086065527383E-2</v>
      </c>
      <c r="T94" s="466">
        <v>87</v>
      </c>
      <c r="U94" s="471">
        <v>21</v>
      </c>
      <c r="V94" s="381">
        <v>0.9</v>
      </c>
      <c r="W94" s="382">
        <v>0.1</v>
      </c>
      <c r="X94" s="187">
        <v>10</v>
      </c>
      <c r="Y94" s="187">
        <v>0.03</v>
      </c>
      <c r="Z94" s="187">
        <v>32</v>
      </c>
      <c r="AA94" s="187">
        <v>35</v>
      </c>
      <c r="AB94" s="187">
        <v>26</v>
      </c>
      <c r="AC94" s="364">
        <v>0.6</v>
      </c>
      <c r="AE94" s="351">
        <v>87</v>
      </c>
      <c r="AF94" s="351">
        <v>21</v>
      </c>
      <c r="AG94" s="351">
        <v>0.9</v>
      </c>
      <c r="AH94" s="351">
        <v>0.1</v>
      </c>
    </row>
    <row r="95" spans="1:34" ht="14.1" customHeight="1" x14ac:dyDescent="0.2">
      <c r="A95" s="297">
        <v>72</v>
      </c>
      <c r="B95" s="293" t="s">
        <v>107</v>
      </c>
      <c r="C95" s="45"/>
      <c r="D95" s="133">
        <f>Produksi!F101</f>
        <v>0</v>
      </c>
      <c r="E95" s="333">
        <f>Stok!L100</f>
        <v>0</v>
      </c>
      <c r="F95" s="134">
        <f>'Impor_Pangan Masuk'!F102</f>
        <v>0</v>
      </c>
      <c r="G95" s="134">
        <f>'Ekspor_Pangan Keluar'!F102</f>
        <v>0</v>
      </c>
      <c r="H95" s="134">
        <f t="shared" si="14"/>
        <v>0</v>
      </c>
      <c r="I95" s="134">
        <f>'Pemakaian Dalam Negeri'!E107</f>
        <v>0</v>
      </c>
      <c r="J95" s="134">
        <f>'Pemakaian Dalam Negeri'!F107</f>
        <v>0</v>
      </c>
      <c r="K95" s="134">
        <f>'Pemakaian Dalam Negeri'!G107</f>
        <v>0</v>
      </c>
      <c r="L95" s="134">
        <f>'Pemakaian Dalam Negeri'!H107</f>
        <v>0</v>
      </c>
      <c r="M95" s="134">
        <f>'Pemakaian Dalam Negeri'!I107</f>
        <v>0</v>
      </c>
      <c r="N95" s="134">
        <f>'Pemakaian Dalam Negeri'!J107</f>
        <v>0</v>
      </c>
      <c r="O95" s="126">
        <f t="shared" si="16"/>
        <v>0</v>
      </c>
      <c r="P95" s="126">
        <f t="shared" si="17"/>
        <v>0</v>
      </c>
      <c r="Q95" s="122">
        <f t="shared" si="18"/>
        <v>0</v>
      </c>
      <c r="R95" s="126">
        <f t="shared" si="19"/>
        <v>0</v>
      </c>
      <c r="S95" s="127">
        <f t="shared" si="20"/>
        <v>0</v>
      </c>
      <c r="T95" s="466">
        <v>83</v>
      </c>
      <c r="U95" s="471">
        <v>30</v>
      </c>
      <c r="V95" s="381">
        <v>0.6</v>
      </c>
      <c r="W95" s="382">
        <v>0.1</v>
      </c>
      <c r="X95" s="187">
        <v>90</v>
      </c>
      <c r="Y95" s="187">
        <v>0.05</v>
      </c>
      <c r="Z95" s="187">
        <v>27</v>
      </c>
      <c r="AA95" s="187">
        <v>24</v>
      </c>
      <c r="AB95" s="187">
        <v>36</v>
      </c>
      <c r="AC95" s="364">
        <v>0.8</v>
      </c>
      <c r="AE95" s="351">
        <v>83</v>
      </c>
      <c r="AF95" s="351">
        <v>30</v>
      </c>
      <c r="AG95" s="351">
        <v>0.6</v>
      </c>
      <c r="AH95" s="351">
        <v>0.1</v>
      </c>
    </row>
    <row r="96" spans="1:34" ht="14.1" customHeight="1" x14ac:dyDescent="0.2">
      <c r="A96" s="297">
        <v>73</v>
      </c>
      <c r="B96" s="293" t="s">
        <v>108</v>
      </c>
      <c r="C96" s="45"/>
      <c r="D96" s="133">
        <f>Produksi!F102</f>
        <v>0</v>
      </c>
      <c r="E96" s="333">
        <f>Stok!L101</f>
        <v>0</v>
      </c>
      <c r="F96" s="134">
        <f>'Impor_Pangan Masuk'!F103</f>
        <v>248.16902064286708</v>
      </c>
      <c r="G96" s="134">
        <f>'Ekspor_Pangan Keluar'!F103</f>
        <v>0</v>
      </c>
      <c r="H96" s="134">
        <f t="shared" si="14"/>
        <v>248.16902064286708</v>
      </c>
      <c r="I96" s="134">
        <f>'Pemakaian Dalam Negeri'!E108</f>
        <v>0</v>
      </c>
      <c r="J96" s="134">
        <f>'Pemakaian Dalam Negeri'!F108</f>
        <v>1.0919436908286153</v>
      </c>
      <c r="K96" s="134">
        <f>'Pemakaian Dalam Negeri'!G108</f>
        <v>0</v>
      </c>
      <c r="L96" s="134">
        <f>'Pemakaian Dalam Negeri'!H108</f>
        <v>4.8889297066644808</v>
      </c>
      <c r="M96" s="134">
        <f>'Pemakaian Dalam Negeri'!I108</f>
        <v>0</v>
      </c>
      <c r="N96" s="134">
        <f>'Pemakaian Dalam Negeri'!J108</f>
        <v>242.18814724537398</v>
      </c>
      <c r="O96" s="126">
        <f t="shared" si="16"/>
        <v>0.97615181977539334</v>
      </c>
      <c r="P96" s="126">
        <f t="shared" si="17"/>
        <v>2.674388547329845</v>
      </c>
      <c r="Q96" s="122">
        <f t="shared" si="18"/>
        <v>0.73652660593463937</v>
      </c>
      <c r="R96" s="126">
        <f t="shared" si="19"/>
        <v>5.1990113360092197E-2</v>
      </c>
      <c r="S96" s="127">
        <f t="shared" si="20"/>
        <v>6.4987641700115246E-3</v>
      </c>
      <c r="T96" s="466">
        <v>90</v>
      </c>
      <c r="U96" s="471">
        <v>30.6</v>
      </c>
      <c r="V96" s="381">
        <v>2.16</v>
      </c>
      <c r="W96" s="382">
        <v>0.27</v>
      </c>
      <c r="X96" s="187">
        <v>630</v>
      </c>
      <c r="Y96" s="187">
        <v>0.08</v>
      </c>
      <c r="Z96" s="187">
        <v>19</v>
      </c>
      <c r="AA96" s="187">
        <v>65</v>
      </c>
      <c r="AB96" s="187">
        <v>44</v>
      </c>
      <c r="AC96" s="364">
        <v>1.1000000000000001</v>
      </c>
      <c r="AE96" s="351">
        <v>90</v>
      </c>
      <c r="AF96" s="351">
        <v>34</v>
      </c>
      <c r="AG96" s="351">
        <v>2.4</v>
      </c>
      <c r="AH96" s="351">
        <v>0.3</v>
      </c>
    </row>
    <row r="97" spans="1:34" ht="14.1" customHeight="1" x14ac:dyDescent="0.2">
      <c r="A97" s="297">
        <v>74</v>
      </c>
      <c r="B97" s="293" t="s">
        <v>109</v>
      </c>
      <c r="C97" s="45"/>
      <c r="D97" s="133">
        <f>Produksi!F103</f>
        <v>231.4</v>
      </c>
      <c r="E97" s="333">
        <f>Stok!L102</f>
        <v>0</v>
      </c>
      <c r="F97" s="134">
        <f>'Impor_Pangan Masuk'!F104</f>
        <v>734.53099457634596</v>
      </c>
      <c r="G97" s="134">
        <f>'Ekspor_Pangan Keluar'!F104</f>
        <v>0</v>
      </c>
      <c r="H97" s="134">
        <f t="shared" si="14"/>
        <v>965.93099457634594</v>
      </c>
      <c r="I97" s="134">
        <f>'Pemakaian Dalam Negeri'!E109</f>
        <v>0</v>
      </c>
      <c r="J97" s="134">
        <f>'Pemakaian Dalam Negeri'!F109</f>
        <v>4.2500963761359225</v>
      </c>
      <c r="K97" s="134">
        <f>'Pemakaian Dalam Negeri'!G109</f>
        <v>0</v>
      </c>
      <c r="L97" s="134">
        <f>'Pemakaian Dalam Negeri'!H109</f>
        <v>19.028840593154015</v>
      </c>
      <c r="M97" s="134">
        <f>'Pemakaian Dalam Negeri'!I109</f>
        <v>0</v>
      </c>
      <c r="N97" s="134">
        <f>'Pemakaian Dalam Negeri'!J109</f>
        <v>942.65205760705601</v>
      </c>
      <c r="O97" s="126">
        <f t="shared" si="16"/>
        <v>3.799407741105806</v>
      </c>
      <c r="P97" s="126">
        <f t="shared" si="17"/>
        <v>10.409336277002208</v>
      </c>
      <c r="Q97" s="122">
        <f t="shared" si="18"/>
        <v>0.83957542675788988</v>
      </c>
      <c r="R97" s="126">
        <f t="shared" si="19"/>
        <v>4.7300024042698022E-2</v>
      </c>
      <c r="S97" s="127">
        <f t="shared" si="20"/>
        <v>2.0693760518680389E-2</v>
      </c>
      <c r="T97" s="466">
        <v>71</v>
      </c>
      <c r="U97" s="471">
        <v>11.36</v>
      </c>
      <c r="V97" s="381">
        <v>0.64</v>
      </c>
      <c r="W97" s="382">
        <v>0.28000000000000003</v>
      </c>
      <c r="X97" s="187">
        <v>6090</v>
      </c>
      <c r="Y97" s="187">
        <v>0.08</v>
      </c>
      <c r="Z97" s="187">
        <v>80</v>
      </c>
      <c r="AA97" s="187">
        <v>267</v>
      </c>
      <c r="AB97" s="187">
        <v>67</v>
      </c>
      <c r="AC97" s="364">
        <v>3.9</v>
      </c>
      <c r="AE97" s="351">
        <v>71</v>
      </c>
      <c r="AF97" s="351">
        <v>16</v>
      </c>
      <c r="AG97" s="351">
        <v>0.9</v>
      </c>
      <c r="AH97" s="351">
        <v>0.4</v>
      </c>
    </row>
    <row r="98" spans="1:34" ht="14.1" customHeight="1" x14ac:dyDescent="0.2">
      <c r="A98" s="297">
        <v>75</v>
      </c>
      <c r="B98" s="293" t="s">
        <v>111</v>
      </c>
      <c r="C98" s="45"/>
      <c r="D98" s="133">
        <f>Produksi!F104</f>
        <v>0</v>
      </c>
      <c r="E98" s="333">
        <f>Stok!L103</f>
        <v>0</v>
      </c>
      <c r="F98" s="134">
        <f>'Impor_Pangan Masuk'!F105</f>
        <v>0</v>
      </c>
      <c r="G98" s="134">
        <f>'Ekspor_Pangan Keluar'!F105</f>
        <v>0</v>
      </c>
      <c r="H98" s="134">
        <f t="shared" si="14"/>
        <v>0</v>
      </c>
      <c r="I98" s="134">
        <f>'Pemakaian Dalam Negeri'!E110</f>
        <v>0</v>
      </c>
      <c r="J98" s="134">
        <f>'Pemakaian Dalam Negeri'!F110</f>
        <v>0</v>
      </c>
      <c r="K98" s="134">
        <f>'Pemakaian Dalam Negeri'!G110</f>
        <v>0</v>
      </c>
      <c r="L98" s="134">
        <f>'Pemakaian Dalam Negeri'!H110</f>
        <v>0</v>
      </c>
      <c r="M98" s="134">
        <f>'Pemakaian Dalam Negeri'!I110</f>
        <v>0</v>
      </c>
      <c r="N98" s="134">
        <f>'Pemakaian Dalam Negeri'!J110</f>
        <v>0</v>
      </c>
      <c r="O98" s="126">
        <f t="shared" si="16"/>
        <v>0</v>
      </c>
      <c r="P98" s="126">
        <f t="shared" si="17"/>
        <v>0</v>
      </c>
      <c r="Q98" s="122">
        <f t="shared" si="18"/>
        <v>0</v>
      </c>
      <c r="R98" s="126">
        <f t="shared" si="19"/>
        <v>0</v>
      </c>
      <c r="S98" s="127">
        <f t="shared" si="20"/>
        <v>0</v>
      </c>
      <c r="T98" s="467">
        <v>57</v>
      </c>
      <c r="U98" s="472">
        <v>25</v>
      </c>
      <c r="V98" s="383">
        <v>2.4</v>
      </c>
      <c r="W98" s="384">
        <v>0.2</v>
      </c>
      <c r="X98" s="171"/>
      <c r="Y98" s="187"/>
      <c r="Z98" s="187"/>
      <c r="AA98" s="187"/>
      <c r="AB98" s="187"/>
      <c r="AC98" s="364"/>
      <c r="AE98" s="351">
        <v>57</v>
      </c>
      <c r="AF98" s="351">
        <v>25</v>
      </c>
      <c r="AG98" s="351">
        <v>2.4</v>
      </c>
      <c r="AH98" s="351">
        <v>0.2</v>
      </c>
    </row>
    <row r="99" spans="1:34" ht="14.1" customHeight="1" x14ac:dyDescent="0.2">
      <c r="A99" s="297">
        <v>76</v>
      </c>
      <c r="B99" s="293" t="s">
        <v>167</v>
      </c>
      <c r="C99" s="45"/>
      <c r="D99" s="133">
        <f>Produksi!F105</f>
        <v>0</v>
      </c>
      <c r="E99" s="333">
        <f>Stok!L104</f>
        <v>0</v>
      </c>
      <c r="F99" s="134">
        <f>'Impor_Pangan Masuk'!F106</f>
        <v>0</v>
      </c>
      <c r="G99" s="134">
        <f>'Ekspor_Pangan Keluar'!F106</f>
        <v>0</v>
      </c>
      <c r="H99" s="134">
        <f t="shared" si="14"/>
        <v>0</v>
      </c>
      <c r="I99" s="134">
        <f>'Pemakaian Dalam Negeri'!E111</f>
        <v>0</v>
      </c>
      <c r="J99" s="134">
        <f>'Pemakaian Dalam Negeri'!F111</f>
        <v>0</v>
      </c>
      <c r="K99" s="134">
        <f>'Pemakaian Dalam Negeri'!G111</f>
        <v>0</v>
      </c>
      <c r="L99" s="134">
        <f>'Pemakaian Dalam Negeri'!H111</f>
        <v>0</v>
      </c>
      <c r="M99" s="134">
        <f>'Pemakaian Dalam Negeri'!I111</f>
        <v>0</v>
      </c>
      <c r="N99" s="134">
        <f>'Pemakaian Dalam Negeri'!J111</f>
        <v>0</v>
      </c>
      <c r="O99" s="126">
        <f t="shared" si="16"/>
        <v>0</v>
      </c>
      <c r="P99" s="126">
        <f t="shared" si="17"/>
        <v>0</v>
      </c>
      <c r="Q99" s="122">
        <f t="shared" si="18"/>
        <v>0</v>
      </c>
      <c r="R99" s="126">
        <f t="shared" si="19"/>
        <v>0</v>
      </c>
      <c r="S99" s="127">
        <f t="shared" si="20"/>
        <v>0</v>
      </c>
      <c r="T99" s="468">
        <v>100</v>
      </c>
      <c r="U99" s="473">
        <v>30</v>
      </c>
      <c r="V99" s="351">
        <v>1.9</v>
      </c>
      <c r="W99" s="386">
        <v>0.1</v>
      </c>
      <c r="X99" s="163"/>
      <c r="Y99" s="163"/>
      <c r="Z99" s="163"/>
      <c r="AA99" s="163"/>
      <c r="AB99" s="163"/>
      <c r="AC99" s="367"/>
      <c r="AE99" s="351">
        <v>100</v>
      </c>
      <c r="AF99" s="351">
        <v>30</v>
      </c>
      <c r="AG99" s="351">
        <v>1.9</v>
      </c>
      <c r="AH99" s="351">
        <v>0.1</v>
      </c>
    </row>
    <row r="100" spans="1:34" ht="14.1" customHeight="1" x14ac:dyDescent="0.2">
      <c r="A100" s="297">
        <v>77</v>
      </c>
      <c r="B100" s="293" t="s">
        <v>21</v>
      </c>
      <c r="C100" s="45"/>
      <c r="D100" s="133">
        <f>Produksi!F106</f>
        <v>0</v>
      </c>
      <c r="E100" s="333">
        <f>Stok!L105</f>
        <v>0</v>
      </c>
      <c r="F100" s="134">
        <f>'Impor_Pangan Masuk'!F107</f>
        <v>0</v>
      </c>
      <c r="G100" s="134">
        <f>'Ekspor_Pangan Keluar'!F107</f>
        <v>0</v>
      </c>
      <c r="H100" s="134">
        <f t="shared" si="14"/>
        <v>0</v>
      </c>
      <c r="I100" s="134">
        <f>'Pemakaian Dalam Negeri'!E112</f>
        <v>0</v>
      </c>
      <c r="J100" s="134">
        <f>'Pemakaian Dalam Negeri'!F112</f>
        <v>0</v>
      </c>
      <c r="K100" s="134">
        <f>'Pemakaian Dalam Negeri'!G112</f>
        <v>0</v>
      </c>
      <c r="L100" s="134">
        <f>'Pemakaian Dalam Negeri'!H112</f>
        <v>0</v>
      </c>
      <c r="M100" s="134">
        <f>'Pemakaian Dalam Negeri'!I112</f>
        <v>0</v>
      </c>
      <c r="N100" s="134">
        <f>'Pemakaian Dalam Negeri'!J112</f>
        <v>0</v>
      </c>
      <c r="O100" s="126">
        <f t="shared" si="16"/>
        <v>0</v>
      </c>
      <c r="P100" s="126">
        <f t="shared" si="17"/>
        <v>0</v>
      </c>
      <c r="Q100" s="122">
        <f t="shared" si="18"/>
        <v>0</v>
      </c>
      <c r="R100" s="126">
        <f t="shared" si="19"/>
        <v>0</v>
      </c>
      <c r="S100" s="127">
        <f t="shared" si="20"/>
        <v>0</v>
      </c>
      <c r="T100" s="468">
        <v>100</v>
      </c>
      <c r="U100" s="473">
        <v>30</v>
      </c>
      <c r="V100" s="351">
        <v>3.5</v>
      </c>
      <c r="W100" s="386">
        <v>0.2</v>
      </c>
      <c r="X100" s="163"/>
      <c r="Y100" s="163"/>
      <c r="Z100" s="163"/>
      <c r="AA100" s="163"/>
      <c r="AB100" s="163"/>
      <c r="AC100" s="367"/>
      <c r="AE100" s="351">
        <v>100</v>
      </c>
      <c r="AF100" s="351">
        <v>30</v>
      </c>
      <c r="AG100" s="351">
        <v>3.5</v>
      </c>
      <c r="AH100" s="351">
        <v>0.2</v>
      </c>
    </row>
    <row r="101" spans="1:34" ht="14.1" customHeight="1" x14ac:dyDescent="0.2">
      <c r="A101" s="297">
        <v>78</v>
      </c>
      <c r="B101" s="293" t="s">
        <v>22</v>
      </c>
      <c r="C101" s="45"/>
      <c r="D101" s="133">
        <f>Produksi!F107</f>
        <v>0</v>
      </c>
      <c r="E101" s="333">
        <f>Stok!L106</f>
        <v>0</v>
      </c>
      <c r="F101" s="134">
        <f>'Impor_Pangan Masuk'!F108</f>
        <v>0</v>
      </c>
      <c r="G101" s="134">
        <f>'Ekspor_Pangan Keluar'!F108</f>
        <v>0</v>
      </c>
      <c r="H101" s="134">
        <f t="shared" si="14"/>
        <v>0</v>
      </c>
      <c r="I101" s="134">
        <f>'Pemakaian Dalam Negeri'!E113</f>
        <v>0</v>
      </c>
      <c r="J101" s="134">
        <f>'Pemakaian Dalam Negeri'!F113</f>
        <v>0</v>
      </c>
      <c r="K101" s="134">
        <f>'Pemakaian Dalam Negeri'!G113</f>
        <v>0</v>
      </c>
      <c r="L101" s="134">
        <f>'Pemakaian Dalam Negeri'!H113</f>
        <v>0</v>
      </c>
      <c r="M101" s="134">
        <f>'Pemakaian Dalam Negeri'!I113</f>
        <v>0</v>
      </c>
      <c r="N101" s="134">
        <f>'Pemakaian Dalam Negeri'!J113</f>
        <v>0</v>
      </c>
      <c r="O101" s="126">
        <f t="shared" si="16"/>
        <v>0</v>
      </c>
      <c r="P101" s="126">
        <f t="shared" si="17"/>
        <v>0</v>
      </c>
      <c r="Q101" s="122">
        <f t="shared" si="18"/>
        <v>0</v>
      </c>
      <c r="R101" s="126">
        <f t="shared" si="19"/>
        <v>0</v>
      </c>
      <c r="S101" s="127">
        <f t="shared" si="20"/>
        <v>0</v>
      </c>
      <c r="T101" s="467">
        <v>100</v>
      </c>
      <c r="U101" s="472">
        <v>71.5</v>
      </c>
      <c r="V101" s="383">
        <v>9.9</v>
      </c>
      <c r="W101" s="384">
        <v>0.8</v>
      </c>
      <c r="X101" s="163"/>
      <c r="Y101" s="163"/>
      <c r="Z101" s="163"/>
      <c r="AA101" s="163"/>
      <c r="AB101" s="163"/>
      <c r="AC101" s="367"/>
      <c r="AE101" s="353"/>
      <c r="AF101" s="353"/>
      <c r="AG101" s="353"/>
      <c r="AH101" s="353"/>
    </row>
    <row r="102" spans="1:34" ht="14.1" customHeight="1" x14ac:dyDescent="0.2">
      <c r="A102" s="297">
        <v>79</v>
      </c>
      <c r="B102" s="293" t="s">
        <v>112</v>
      </c>
      <c r="C102" s="45"/>
      <c r="D102" s="133">
        <f>Produksi!F108</f>
        <v>0</v>
      </c>
      <c r="E102" s="333">
        <f>Stok!L107</f>
        <v>0</v>
      </c>
      <c r="F102" s="134">
        <f>'Impor_Pangan Masuk'!F109</f>
        <v>0</v>
      </c>
      <c r="G102" s="134">
        <f>'Ekspor_Pangan Keluar'!F109</f>
        <v>0</v>
      </c>
      <c r="H102" s="134">
        <f t="shared" ref="H102:H164" si="27">D102-E102+F102-G102</f>
        <v>0</v>
      </c>
      <c r="I102" s="134">
        <f>'Pemakaian Dalam Negeri'!E114</f>
        <v>0</v>
      </c>
      <c r="J102" s="134">
        <f>'Pemakaian Dalam Negeri'!F114</f>
        <v>0</v>
      </c>
      <c r="K102" s="134">
        <f>'Pemakaian Dalam Negeri'!G114</f>
        <v>0</v>
      </c>
      <c r="L102" s="134">
        <f>'Pemakaian Dalam Negeri'!H114</f>
        <v>0</v>
      </c>
      <c r="M102" s="134">
        <f>'Pemakaian Dalam Negeri'!I114</f>
        <v>0</v>
      </c>
      <c r="N102" s="134">
        <f>'Pemakaian Dalam Negeri'!J114</f>
        <v>0</v>
      </c>
      <c r="O102" s="126">
        <f t="shared" si="16"/>
        <v>0</v>
      </c>
      <c r="P102" s="126">
        <f t="shared" si="17"/>
        <v>0</v>
      </c>
      <c r="Q102" s="122">
        <f t="shared" si="18"/>
        <v>0</v>
      </c>
      <c r="R102" s="126">
        <f t="shared" si="19"/>
        <v>0</v>
      </c>
      <c r="S102" s="127">
        <f t="shared" si="20"/>
        <v>0</v>
      </c>
      <c r="T102" s="467">
        <v>60</v>
      </c>
      <c r="U102" s="472">
        <v>66</v>
      </c>
      <c r="V102" s="383">
        <v>5</v>
      </c>
      <c r="W102" s="384">
        <v>0.7</v>
      </c>
      <c r="X102" s="171"/>
      <c r="Y102" s="187"/>
      <c r="Z102" s="187"/>
      <c r="AA102" s="187"/>
      <c r="AB102" s="187"/>
      <c r="AC102" s="364"/>
      <c r="AE102" s="351">
        <v>60</v>
      </c>
      <c r="AF102" s="351">
        <v>66</v>
      </c>
      <c r="AG102" s="351">
        <v>5</v>
      </c>
      <c r="AH102" s="351">
        <v>0.7</v>
      </c>
    </row>
    <row r="103" spans="1:34" ht="14.1" customHeight="1" x14ac:dyDescent="0.2">
      <c r="A103" s="297">
        <v>80</v>
      </c>
      <c r="B103" s="293" t="s">
        <v>113</v>
      </c>
      <c r="C103" s="45"/>
      <c r="D103" s="133">
        <f>Produksi!F109</f>
        <v>0</v>
      </c>
      <c r="E103" s="333">
        <f>Stok!L108</f>
        <v>0</v>
      </c>
      <c r="F103" s="134">
        <f>'Impor_Pangan Masuk'!F110</f>
        <v>0</v>
      </c>
      <c r="G103" s="134">
        <f>'Ekspor_Pangan Keluar'!F110</f>
        <v>0</v>
      </c>
      <c r="H103" s="134">
        <f t="shared" si="27"/>
        <v>0</v>
      </c>
      <c r="I103" s="134">
        <f>'Pemakaian Dalam Negeri'!E115</f>
        <v>0</v>
      </c>
      <c r="J103" s="134">
        <f>'Pemakaian Dalam Negeri'!F115</f>
        <v>0</v>
      </c>
      <c r="K103" s="134">
        <f>'Pemakaian Dalam Negeri'!G115</f>
        <v>0</v>
      </c>
      <c r="L103" s="134">
        <f>'Pemakaian Dalam Negeri'!H115</f>
        <v>0</v>
      </c>
      <c r="M103" s="134">
        <f>'Pemakaian Dalam Negeri'!I115</f>
        <v>0</v>
      </c>
      <c r="N103" s="134">
        <f>'Pemakaian Dalam Negeri'!J115</f>
        <v>0</v>
      </c>
      <c r="O103" s="126">
        <f t="shared" si="16"/>
        <v>0</v>
      </c>
      <c r="P103" s="126">
        <f t="shared" si="17"/>
        <v>0</v>
      </c>
      <c r="Q103" s="122">
        <f t="shared" si="18"/>
        <v>0</v>
      </c>
      <c r="R103" s="126">
        <f t="shared" si="19"/>
        <v>0</v>
      </c>
      <c r="S103" s="127">
        <f t="shared" si="20"/>
        <v>0</v>
      </c>
      <c r="T103" s="467">
        <v>36</v>
      </c>
      <c r="U103" s="472">
        <v>51.1</v>
      </c>
      <c r="V103" s="383">
        <v>3.74</v>
      </c>
      <c r="W103" s="384">
        <v>0.7</v>
      </c>
      <c r="X103" s="171"/>
      <c r="Y103" s="187"/>
      <c r="Z103" s="187"/>
      <c r="AA103" s="187"/>
      <c r="AB103" s="187"/>
      <c r="AC103" s="364"/>
      <c r="AE103" s="351">
        <v>36</v>
      </c>
      <c r="AF103" s="351">
        <v>92</v>
      </c>
      <c r="AG103" s="351">
        <v>5.4</v>
      </c>
      <c r="AH103" s="351">
        <v>1.1000000000000001</v>
      </c>
    </row>
    <row r="104" spans="1:34" ht="14.1" customHeight="1" x14ac:dyDescent="0.2">
      <c r="A104" s="297">
        <v>81</v>
      </c>
      <c r="B104" s="293" t="s">
        <v>114</v>
      </c>
      <c r="C104" s="45"/>
      <c r="D104" s="133">
        <f>Produksi!F110</f>
        <v>0</v>
      </c>
      <c r="E104" s="333">
        <f>Stok!L109</f>
        <v>0</v>
      </c>
      <c r="F104" s="134">
        <f>'Impor_Pangan Masuk'!F111</f>
        <v>500</v>
      </c>
      <c r="G104" s="134">
        <f>'Ekspor_Pangan Keluar'!F111</f>
        <v>0</v>
      </c>
      <c r="H104" s="134">
        <f t="shared" si="27"/>
        <v>500</v>
      </c>
      <c r="I104" s="134">
        <f>'Pemakaian Dalam Negeri'!E116</f>
        <v>0</v>
      </c>
      <c r="J104" s="134">
        <f>'Pemakaian Dalam Negeri'!F116</f>
        <v>0</v>
      </c>
      <c r="K104" s="134">
        <f>'Pemakaian Dalam Negeri'!G116</f>
        <v>0</v>
      </c>
      <c r="L104" s="134">
        <f>'Pemakaian Dalam Negeri'!H116</f>
        <v>12.05</v>
      </c>
      <c r="M104" s="134">
        <f>'Pemakaian Dalam Negeri'!I116</f>
        <v>0</v>
      </c>
      <c r="N104" s="134">
        <f>'Pemakaian Dalam Negeri'!J116</f>
        <v>487.95</v>
      </c>
      <c r="O104" s="126">
        <f t="shared" si="16"/>
        <v>1.9667076439410736</v>
      </c>
      <c r="P104" s="126">
        <f t="shared" si="17"/>
        <v>5.3882401203865031</v>
      </c>
      <c r="Q104" s="122">
        <f t="shared" si="18"/>
        <v>6.3139397730689035</v>
      </c>
      <c r="R104" s="126">
        <f t="shared" si="19"/>
        <v>0.28412728978810065</v>
      </c>
      <c r="S104" s="127">
        <f t="shared" si="20"/>
        <v>4.5099569807635024E-3</v>
      </c>
      <c r="T104" s="467">
        <v>93</v>
      </c>
      <c r="U104" s="472">
        <v>126</v>
      </c>
      <c r="V104" s="383">
        <v>5.67</v>
      </c>
      <c r="W104" s="384">
        <v>0.09</v>
      </c>
      <c r="X104" s="171"/>
      <c r="Y104" s="187"/>
      <c r="Z104" s="187"/>
      <c r="AA104" s="187"/>
      <c r="AB104" s="187"/>
      <c r="AC104" s="364"/>
      <c r="AE104" s="351">
        <v>95</v>
      </c>
      <c r="AF104" s="351">
        <v>192</v>
      </c>
      <c r="AG104" s="351">
        <v>5.4</v>
      </c>
      <c r="AH104" s="351">
        <v>0.3</v>
      </c>
    </row>
    <row r="105" spans="1:34" ht="14.1" customHeight="1" x14ac:dyDescent="0.2">
      <c r="A105" s="297">
        <v>82</v>
      </c>
      <c r="B105" s="293" t="s">
        <v>115</v>
      </c>
      <c r="C105" s="45"/>
      <c r="D105" s="133">
        <f>Produksi!F111</f>
        <v>0</v>
      </c>
      <c r="E105" s="333">
        <f>Stok!L110</f>
        <v>0</v>
      </c>
      <c r="F105" s="134">
        <f>'Impor_Pangan Masuk'!F112</f>
        <v>0</v>
      </c>
      <c r="G105" s="134">
        <f>'Ekspor_Pangan Keluar'!F112</f>
        <v>0</v>
      </c>
      <c r="H105" s="134">
        <f t="shared" si="27"/>
        <v>0</v>
      </c>
      <c r="I105" s="134">
        <f>'Pemakaian Dalam Negeri'!E117</f>
        <v>0</v>
      </c>
      <c r="J105" s="134">
        <f>'Pemakaian Dalam Negeri'!F117</f>
        <v>0</v>
      </c>
      <c r="K105" s="134">
        <f>'Pemakaian Dalam Negeri'!G117</f>
        <v>0</v>
      </c>
      <c r="L105" s="134">
        <f>'Pemakaian Dalam Negeri'!H117</f>
        <v>0</v>
      </c>
      <c r="M105" s="134">
        <f>'Pemakaian Dalam Negeri'!I117</f>
        <v>0</v>
      </c>
      <c r="N105" s="134">
        <f>'Pemakaian Dalam Negeri'!J117</f>
        <v>0</v>
      </c>
      <c r="O105" s="126">
        <f t="shared" si="16"/>
        <v>0</v>
      </c>
      <c r="P105" s="126">
        <f t="shared" si="17"/>
        <v>0</v>
      </c>
      <c r="Q105" s="122">
        <f t="shared" si="18"/>
        <v>0</v>
      </c>
      <c r="R105" s="126">
        <f t="shared" si="19"/>
        <v>0</v>
      </c>
      <c r="S105" s="127">
        <f t="shared" si="20"/>
        <v>0</v>
      </c>
      <c r="T105" s="466">
        <v>85</v>
      </c>
      <c r="U105" s="471">
        <v>28.5</v>
      </c>
      <c r="V105" s="381">
        <v>24.96</v>
      </c>
      <c r="W105" s="382">
        <v>0.59</v>
      </c>
      <c r="X105" s="187"/>
      <c r="Y105" s="187"/>
      <c r="Z105" s="187"/>
      <c r="AA105" s="187"/>
      <c r="AB105" s="187"/>
      <c r="AC105" s="364"/>
      <c r="AE105" s="353"/>
      <c r="AF105" s="353"/>
      <c r="AG105" s="353"/>
      <c r="AH105" s="353"/>
    </row>
    <row r="106" spans="1:34" ht="14.1" customHeight="1" x14ac:dyDescent="0.2">
      <c r="A106" s="297">
        <v>83</v>
      </c>
      <c r="B106" s="293" t="s">
        <v>23</v>
      </c>
      <c r="C106" s="45"/>
      <c r="D106" s="133">
        <f>Produksi!F112</f>
        <v>0</v>
      </c>
      <c r="E106" s="333">
        <f>Stok!L111</f>
        <v>0</v>
      </c>
      <c r="F106" s="134">
        <f>'Impor_Pangan Masuk'!F113</f>
        <v>0</v>
      </c>
      <c r="G106" s="134">
        <f>'Ekspor_Pangan Keluar'!F113</f>
        <v>0</v>
      </c>
      <c r="H106" s="134">
        <f t="shared" si="27"/>
        <v>0</v>
      </c>
      <c r="I106" s="134">
        <f>'Pemakaian Dalam Negeri'!E118</f>
        <v>0</v>
      </c>
      <c r="J106" s="134">
        <f>'Pemakaian Dalam Negeri'!F118</f>
        <v>0</v>
      </c>
      <c r="K106" s="134">
        <f>'Pemakaian Dalam Negeri'!G118</f>
        <v>0</v>
      </c>
      <c r="L106" s="134">
        <f>'Pemakaian Dalam Negeri'!H118</f>
        <v>0</v>
      </c>
      <c r="M106" s="134">
        <f>'Pemakaian Dalam Negeri'!I118</f>
        <v>0</v>
      </c>
      <c r="N106" s="134">
        <f>'Pemakaian Dalam Negeri'!J118</f>
        <v>0</v>
      </c>
      <c r="O106" s="126">
        <f t="shared" si="16"/>
        <v>0</v>
      </c>
      <c r="P106" s="126">
        <f t="shared" si="17"/>
        <v>0</v>
      </c>
      <c r="Q106" s="122">
        <f t="shared" si="18"/>
        <v>0</v>
      </c>
      <c r="R106" s="126">
        <f t="shared" si="19"/>
        <v>0</v>
      </c>
      <c r="S106" s="127">
        <f t="shared" si="20"/>
        <v>0</v>
      </c>
      <c r="T106" s="466">
        <v>100</v>
      </c>
      <c r="U106" s="471">
        <v>98</v>
      </c>
      <c r="V106" s="381">
        <v>6.7</v>
      </c>
      <c r="W106" s="382">
        <v>0.4</v>
      </c>
      <c r="X106" s="187"/>
      <c r="Y106" s="187"/>
      <c r="Z106" s="187"/>
      <c r="AA106" s="187"/>
      <c r="AB106" s="187"/>
      <c r="AC106" s="364"/>
      <c r="AE106" s="351">
        <v>45</v>
      </c>
      <c r="AF106" s="351">
        <v>98</v>
      </c>
      <c r="AG106" s="351">
        <v>6.7</v>
      </c>
      <c r="AH106" s="351">
        <v>0.4</v>
      </c>
    </row>
    <row r="107" spans="1:34" ht="14.1" customHeight="1" x14ac:dyDescent="0.2">
      <c r="A107" s="297">
        <v>84</v>
      </c>
      <c r="B107" s="293" t="s">
        <v>24</v>
      </c>
      <c r="C107" s="45"/>
      <c r="D107" s="133">
        <f>Produksi!F113</f>
        <v>0</v>
      </c>
      <c r="E107" s="333">
        <f>Stok!L112</f>
        <v>0</v>
      </c>
      <c r="F107" s="134">
        <f>'Impor_Pangan Masuk'!F114</f>
        <v>0</v>
      </c>
      <c r="G107" s="134">
        <f>'Ekspor_Pangan Keluar'!F114</f>
        <v>0</v>
      </c>
      <c r="H107" s="134">
        <f t="shared" si="27"/>
        <v>0</v>
      </c>
      <c r="I107" s="134">
        <f>'Pemakaian Dalam Negeri'!E119</f>
        <v>0</v>
      </c>
      <c r="J107" s="134">
        <f>'Pemakaian Dalam Negeri'!F119</f>
        <v>0</v>
      </c>
      <c r="K107" s="134">
        <f>'Pemakaian Dalam Negeri'!G119</f>
        <v>0</v>
      </c>
      <c r="L107" s="134">
        <f>'Pemakaian Dalam Negeri'!H119</f>
        <v>0</v>
      </c>
      <c r="M107" s="134">
        <f>'Pemakaian Dalam Negeri'!I119</f>
        <v>0</v>
      </c>
      <c r="N107" s="134">
        <f>'Pemakaian Dalam Negeri'!J119</f>
        <v>0</v>
      </c>
      <c r="O107" s="126">
        <f t="shared" si="16"/>
        <v>0</v>
      </c>
      <c r="P107" s="126">
        <f t="shared" si="17"/>
        <v>0</v>
      </c>
      <c r="Q107" s="122">
        <f t="shared" si="18"/>
        <v>0</v>
      </c>
      <c r="R107" s="126">
        <f t="shared" si="19"/>
        <v>0</v>
      </c>
      <c r="S107" s="127">
        <f t="shared" si="20"/>
        <v>0</v>
      </c>
      <c r="T107" s="466">
        <v>100</v>
      </c>
      <c r="U107" s="471">
        <v>18</v>
      </c>
      <c r="V107" s="381">
        <v>1.2</v>
      </c>
      <c r="W107" s="382">
        <v>0.2</v>
      </c>
      <c r="X107" s="187"/>
      <c r="Y107" s="187"/>
      <c r="Z107" s="187"/>
      <c r="AA107" s="187"/>
      <c r="AB107" s="187"/>
      <c r="AC107" s="364"/>
      <c r="AE107" s="351">
        <v>69</v>
      </c>
      <c r="AF107" s="351">
        <v>18</v>
      </c>
      <c r="AG107" s="351">
        <v>1.2</v>
      </c>
      <c r="AH107" s="351">
        <v>0.2</v>
      </c>
    </row>
    <row r="108" spans="1:34" ht="14.1" customHeight="1" x14ac:dyDescent="0.2">
      <c r="A108" s="297">
        <v>85</v>
      </c>
      <c r="B108" s="293" t="s">
        <v>25</v>
      </c>
      <c r="C108" s="45"/>
      <c r="D108" s="133">
        <f>Produksi!F114</f>
        <v>0</v>
      </c>
      <c r="E108" s="333">
        <f>Stok!L113</f>
        <v>0</v>
      </c>
      <c r="F108" s="134">
        <f>'Impor_Pangan Masuk'!F115</f>
        <v>0</v>
      </c>
      <c r="G108" s="134">
        <f>'Ekspor_Pangan Keluar'!F115</f>
        <v>0</v>
      </c>
      <c r="H108" s="134">
        <f t="shared" si="27"/>
        <v>0</v>
      </c>
      <c r="I108" s="134">
        <f>'Pemakaian Dalam Negeri'!E120</f>
        <v>0</v>
      </c>
      <c r="J108" s="134">
        <f>'Pemakaian Dalam Negeri'!F120</f>
        <v>0</v>
      </c>
      <c r="K108" s="134">
        <f>'Pemakaian Dalam Negeri'!G120</f>
        <v>0</v>
      </c>
      <c r="L108" s="134">
        <f>'Pemakaian Dalam Negeri'!H120</f>
        <v>0</v>
      </c>
      <c r="M108" s="134">
        <f>'Pemakaian Dalam Negeri'!I120</f>
        <v>0</v>
      </c>
      <c r="N108" s="134">
        <f>'Pemakaian Dalam Negeri'!J120</f>
        <v>0</v>
      </c>
      <c r="O108" s="126">
        <f t="shared" si="16"/>
        <v>0</v>
      </c>
      <c r="P108" s="126">
        <f t="shared" si="17"/>
        <v>0</v>
      </c>
      <c r="Q108" s="122">
        <f t="shared" si="18"/>
        <v>0</v>
      </c>
      <c r="R108" s="126">
        <f t="shared" si="19"/>
        <v>0</v>
      </c>
      <c r="S108" s="127">
        <f t="shared" si="20"/>
        <v>0</v>
      </c>
      <c r="T108" s="466">
        <v>100</v>
      </c>
      <c r="U108" s="471">
        <v>100</v>
      </c>
      <c r="V108" s="381">
        <v>23</v>
      </c>
      <c r="W108" s="382">
        <v>2.6</v>
      </c>
      <c r="X108" s="187"/>
      <c r="Y108" s="187"/>
      <c r="Z108" s="187"/>
      <c r="AA108" s="187"/>
      <c r="AB108" s="187"/>
      <c r="AC108" s="364"/>
      <c r="AE108" s="353"/>
      <c r="AF108" s="353"/>
      <c r="AG108" s="353"/>
      <c r="AH108" s="353"/>
    </row>
    <row r="109" spans="1:34" ht="14.1" customHeight="1" x14ac:dyDescent="0.2">
      <c r="A109" s="297">
        <v>86</v>
      </c>
      <c r="B109" s="293" t="s">
        <v>26</v>
      </c>
      <c r="C109" s="45"/>
      <c r="D109" s="133">
        <f>Produksi!F115</f>
        <v>0</v>
      </c>
      <c r="E109" s="333">
        <f>Stok!L114</f>
        <v>0</v>
      </c>
      <c r="F109" s="134">
        <f>'Impor_Pangan Masuk'!F116</f>
        <v>0</v>
      </c>
      <c r="G109" s="134">
        <f>'Ekspor_Pangan Keluar'!F116</f>
        <v>0</v>
      </c>
      <c r="H109" s="134">
        <f t="shared" si="27"/>
        <v>0</v>
      </c>
      <c r="I109" s="134">
        <f>'Pemakaian Dalam Negeri'!E121</f>
        <v>0</v>
      </c>
      <c r="J109" s="134">
        <f>'Pemakaian Dalam Negeri'!F121</f>
        <v>0</v>
      </c>
      <c r="K109" s="134">
        <f>'Pemakaian Dalam Negeri'!G121</f>
        <v>0</v>
      </c>
      <c r="L109" s="134">
        <f>'Pemakaian Dalam Negeri'!H121</f>
        <v>0</v>
      </c>
      <c r="M109" s="134">
        <f>'Pemakaian Dalam Negeri'!I121</f>
        <v>0</v>
      </c>
      <c r="N109" s="134">
        <f>'Pemakaian Dalam Negeri'!J121</f>
        <v>0</v>
      </c>
      <c r="O109" s="126">
        <f t="shared" si="16"/>
        <v>0</v>
      </c>
      <c r="P109" s="126">
        <f t="shared" si="17"/>
        <v>0</v>
      </c>
      <c r="Q109" s="122">
        <f t="shared" si="18"/>
        <v>0</v>
      </c>
      <c r="R109" s="126">
        <f t="shared" si="19"/>
        <v>0</v>
      </c>
      <c r="S109" s="127">
        <f t="shared" si="20"/>
        <v>0</v>
      </c>
      <c r="T109" s="466">
        <v>100</v>
      </c>
      <c r="U109" s="471">
        <v>23</v>
      </c>
      <c r="V109" s="381">
        <v>1</v>
      </c>
      <c r="W109" s="382">
        <v>0.1</v>
      </c>
      <c r="X109" s="187"/>
      <c r="Y109" s="187"/>
      <c r="Z109" s="187"/>
      <c r="AA109" s="187"/>
      <c r="AB109" s="187"/>
      <c r="AC109" s="364"/>
      <c r="AE109" s="351">
        <v>63</v>
      </c>
      <c r="AF109" s="351">
        <v>23</v>
      </c>
      <c r="AG109" s="351">
        <v>1</v>
      </c>
      <c r="AH109" s="351">
        <v>4.5999999999999996</v>
      </c>
    </row>
    <row r="110" spans="1:34" ht="14.1" customHeight="1" x14ac:dyDescent="0.2">
      <c r="A110" s="297">
        <v>87</v>
      </c>
      <c r="B110" s="282" t="s">
        <v>173</v>
      </c>
      <c r="C110" s="45"/>
      <c r="D110" s="133">
        <f>Produksi!F116</f>
        <v>0</v>
      </c>
      <c r="E110" s="333">
        <f>Stok!L115</f>
        <v>0</v>
      </c>
      <c r="F110" s="134">
        <f>'Impor_Pangan Masuk'!F117</f>
        <v>0</v>
      </c>
      <c r="G110" s="134">
        <f>'Ekspor_Pangan Keluar'!F117</f>
        <v>0</v>
      </c>
      <c r="H110" s="134">
        <f t="shared" si="27"/>
        <v>0</v>
      </c>
      <c r="I110" s="134">
        <f>'Pemakaian Dalam Negeri'!E122</f>
        <v>0</v>
      </c>
      <c r="J110" s="134">
        <f>'Pemakaian Dalam Negeri'!F122</f>
        <v>0</v>
      </c>
      <c r="K110" s="134">
        <f>'Pemakaian Dalam Negeri'!G122</f>
        <v>0</v>
      </c>
      <c r="L110" s="134">
        <f>'Pemakaian Dalam Negeri'!H122</f>
        <v>0</v>
      </c>
      <c r="M110" s="134">
        <f>'Pemakaian Dalam Negeri'!I122</f>
        <v>0</v>
      </c>
      <c r="N110" s="134">
        <f>'Pemakaian Dalam Negeri'!J122</f>
        <v>0</v>
      </c>
      <c r="O110" s="126">
        <f t="shared" si="16"/>
        <v>0</v>
      </c>
      <c r="P110" s="126">
        <f t="shared" si="17"/>
        <v>0</v>
      </c>
      <c r="Q110" s="122">
        <f t="shared" si="18"/>
        <v>0</v>
      </c>
      <c r="R110" s="126">
        <f t="shared" si="19"/>
        <v>0</v>
      </c>
      <c r="S110" s="127">
        <f t="shared" si="20"/>
        <v>0</v>
      </c>
      <c r="T110" s="466">
        <v>100</v>
      </c>
      <c r="U110" s="471">
        <f>AVERAGE(U78:U109)</f>
        <v>49.431874999999991</v>
      </c>
      <c r="V110" s="381">
        <f>AVERAGE(V78:V109)</f>
        <v>4.1725624999999997</v>
      </c>
      <c r="W110" s="382">
        <f>AVERAGE(W78:W109)</f>
        <v>0.51156249999999992</v>
      </c>
      <c r="X110" s="187"/>
      <c r="Y110" s="187"/>
      <c r="Z110" s="187"/>
      <c r="AA110" s="187"/>
      <c r="AB110" s="187"/>
      <c r="AC110" s="364"/>
      <c r="AE110" s="56"/>
      <c r="AF110" s="56"/>
      <c r="AG110" s="56"/>
      <c r="AH110" s="56"/>
    </row>
    <row r="111" spans="1:34" ht="14.1" customHeight="1" x14ac:dyDescent="0.2">
      <c r="A111" s="297"/>
      <c r="B111" s="282"/>
      <c r="C111" s="282"/>
      <c r="D111" s="133"/>
      <c r="E111" s="333"/>
      <c r="F111" s="134"/>
      <c r="G111" s="134"/>
      <c r="H111" s="134"/>
      <c r="I111" s="134"/>
      <c r="J111" s="134"/>
      <c r="K111" s="134"/>
      <c r="L111" s="134"/>
      <c r="M111" s="134"/>
      <c r="N111" s="134"/>
      <c r="O111" s="126"/>
      <c r="P111" s="126"/>
      <c r="Q111" s="122"/>
      <c r="R111" s="126"/>
      <c r="S111" s="127"/>
      <c r="T111" s="466"/>
      <c r="U111" s="471"/>
      <c r="V111" s="381"/>
      <c r="W111" s="382"/>
      <c r="X111" s="187"/>
      <c r="Y111" s="187"/>
      <c r="Z111" s="187"/>
      <c r="AA111" s="187"/>
      <c r="AB111" s="187"/>
      <c r="AC111" s="364"/>
      <c r="AE111" s="56"/>
      <c r="AF111" s="56"/>
      <c r="AG111" s="56"/>
      <c r="AH111" s="56"/>
    </row>
    <row r="112" spans="1:34" ht="14.1" customHeight="1" thickBot="1" x14ac:dyDescent="0.25">
      <c r="A112" s="295" t="s">
        <v>116</v>
      </c>
      <c r="B112" s="293"/>
      <c r="C112" s="282"/>
      <c r="D112" s="133"/>
      <c r="E112" s="333"/>
      <c r="F112" s="134"/>
      <c r="G112" s="134"/>
      <c r="H112" s="134"/>
      <c r="I112" s="134"/>
      <c r="J112" s="134"/>
      <c r="K112" s="134"/>
      <c r="L112" s="134"/>
      <c r="M112" s="134"/>
      <c r="N112" s="134"/>
      <c r="O112" s="126"/>
      <c r="P112" s="126"/>
      <c r="Q112" s="567">
        <f>SUM(Q113:Q123)</f>
        <v>260.41194716837475</v>
      </c>
      <c r="R112" s="340">
        <f>SUM(R113:R123)</f>
        <v>17.975352711075583</v>
      </c>
      <c r="S112" s="340">
        <f>SUM(S113:S123)</f>
        <v>20.404220209519895</v>
      </c>
      <c r="T112" s="466"/>
      <c r="U112" s="471"/>
      <c r="V112" s="381"/>
      <c r="W112" s="382"/>
      <c r="X112" s="187"/>
      <c r="Y112" s="187"/>
      <c r="Z112" s="187"/>
      <c r="AA112" s="187"/>
      <c r="AB112" s="187"/>
      <c r="AC112" s="364"/>
      <c r="AE112" s="56"/>
      <c r="AF112" s="56"/>
      <c r="AG112" s="56"/>
      <c r="AH112" s="56"/>
    </row>
    <row r="113" spans="1:34" ht="14.1" customHeight="1" x14ac:dyDescent="0.2">
      <c r="A113" s="297">
        <v>88</v>
      </c>
      <c r="B113" s="282" t="s">
        <v>117</v>
      </c>
      <c r="C113" s="45"/>
      <c r="D113" s="133">
        <f>Produksi!F119</f>
        <v>1282.0047144740035</v>
      </c>
      <c r="E113" s="333">
        <f>Stok!L118</f>
        <v>0</v>
      </c>
      <c r="F113" s="134">
        <f>'Impor_Pangan Masuk'!F120</f>
        <v>513</v>
      </c>
      <c r="G113" s="134">
        <f>'Ekspor_Pangan Keluar'!F120</f>
        <v>0</v>
      </c>
      <c r="H113" s="134">
        <f t="shared" si="27"/>
        <v>1795.0047144740035</v>
      </c>
      <c r="I113" s="134">
        <f>'Pemakaian Dalam Negeri'!E125</f>
        <v>0</v>
      </c>
      <c r="J113" s="134">
        <f>'Pemakaian Dalam Negeri'!F125</f>
        <v>0</v>
      </c>
      <c r="K113" s="134">
        <f>'Pemakaian Dalam Negeri'!G125</f>
        <v>0</v>
      </c>
      <c r="L113" s="134">
        <f>'Pemakaian Dalam Negeri'!H125</f>
        <v>1.4360037715792029</v>
      </c>
      <c r="M113" s="134">
        <f>'Pemakaian Dalam Negeri'!I125</f>
        <v>0</v>
      </c>
      <c r="N113" s="134">
        <f>'Pemakaian Dalam Negeri'!J125</f>
        <v>1793.5687107024244</v>
      </c>
      <c r="O113" s="126">
        <f t="shared" si="16"/>
        <v>7.2290712025248354</v>
      </c>
      <c r="P113" s="126">
        <f t="shared" si="17"/>
        <v>19.805674527465303</v>
      </c>
      <c r="Q113" s="568">
        <f t="shared" ref="Q113:Q123" si="28">P113/100*T113/100*U113</f>
        <v>40.997746271853174</v>
      </c>
      <c r="R113" s="177">
        <f t="shared" ref="R113:R123" si="29">P113/100*T113/100*V113</f>
        <v>3.723466811163477</v>
      </c>
      <c r="S113" s="178">
        <f t="shared" ref="S113:S123" si="30">P113/100*T113/100*W113</f>
        <v>2.7727944338451422</v>
      </c>
      <c r="T113" s="466">
        <v>100</v>
      </c>
      <c r="U113" s="471">
        <v>207</v>
      </c>
      <c r="V113" s="381">
        <v>18.8</v>
      </c>
      <c r="W113" s="382">
        <v>14</v>
      </c>
      <c r="X113" s="187">
        <v>30</v>
      </c>
      <c r="Y113" s="187">
        <v>0.08</v>
      </c>
      <c r="Z113" s="187">
        <v>0</v>
      </c>
      <c r="AA113" s="187">
        <v>11</v>
      </c>
      <c r="AB113" s="187">
        <v>170</v>
      </c>
      <c r="AC113" s="364">
        <v>2.8</v>
      </c>
      <c r="AE113" s="56">
        <v>100</v>
      </c>
      <c r="AF113" s="56">
        <v>201</v>
      </c>
      <c r="AG113" s="56">
        <v>18.8</v>
      </c>
      <c r="AH113" s="56">
        <v>14</v>
      </c>
    </row>
    <row r="114" spans="1:34" ht="14.1" customHeight="1" x14ac:dyDescent="0.2">
      <c r="A114" s="297">
        <v>89</v>
      </c>
      <c r="B114" s="282" t="s">
        <v>118</v>
      </c>
      <c r="C114" s="45"/>
      <c r="D114" s="133">
        <f>Produksi!F122</f>
        <v>138.70531953751254</v>
      </c>
      <c r="E114" s="333">
        <f>Stok!L119</f>
        <v>0</v>
      </c>
      <c r="F114" s="134">
        <f>'Impor_Pangan Masuk'!F121</f>
        <v>150</v>
      </c>
      <c r="G114" s="134">
        <f>'Ekspor_Pangan Keluar'!F121</f>
        <v>0</v>
      </c>
      <c r="H114" s="134">
        <f t="shared" si="27"/>
        <v>288.70531953751254</v>
      </c>
      <c r="I114" s="134">
        <f>'Pemakaian Dalam Negeri'!E126</f>
        <v>0</v>
      </c>
      <c r="J114" s="134">
        <f>'Pemakaian Dalam Negeri'!F126</f>
        <v>0</v>
      </c>
      <c r="K114" s="134">
        <f>'Pemakaian Dalam Negeri'!G126</f>
        <v>0</v>
      </c>
      <c r="L114" s="134">
        <f>'Pemakaian Dalam Negeri'!H126</f>
        <v>0.23096425563001005</v>
      </c>
      <c r="M114" s="134">
        <f>'Pemakaian Dalam Negeri'!I126</f>
        <v>0</v>
      </c>
      <c r="N114" s="134">
        <f>'Pemakaian Dalam Negeri'!J126</f>
        <v>288.47435528188254</v>
      </c>
      <c r="O114" s="126">
        <f t="shared" si="16"/>
        <v>1.1627107687546907</v>
      </c>
      <c r="P114" s="126">
        <f t="shared" si="17"/>
        <v>3.1855089554923035</v>
      </c>
      <c r="Q114" s="122">
        <f t="shared" si="28"/>
        <v>2.6758275226135351</v>
      </c>
      <c r="R114" s="126">
        <f t="shared" si="29"/>
        <v>0.59569017467706076</v>
      </c>
      <c r="S114" s="127">
        <f t="shared" si="30"/>
        <v>1.5927544777461517E-2</v>
      </c>
      <c r="T114" s="466">
        <v>100</v>
      </c>
      <c r="U114" s="471">
        <v>84</v>
      </c>
      <c r="V114" s="381">
        <v>18.7</v>
      </c>
      <c r="W114" s="382">
        <v>0.5</v>
      </c>
      <c r="X114" s="187">
        <v>0</v>
      </c>
      <c r="Y114" s="187">
        <v>0.02</v>
      </c>
      <c r="Z114" s="187">
        <v>0</v>
      </c>
      <c r="AA114" s="187">
        <v>7</v>
      </c>
      <c r="AB114" s="187">
        <v>151</v>
      </c>
      <c r="AC114" s="364">
        <v>2</v>
      </c>
      <c r="AE114" s="56">
        <v>100</v>
      </c>
      <c r="AF114" s="56">
        <v>79</v>
      </c>
      <c r="AG114" s="56">
        <v>18.7</v>
      </c>
      <c r="AH114" s="56">
        <v>0.5</v>
      </c>
    </row>
    <row r="115" spans="1:34" ht="14.1" customHeight="1" x14ac:dyDescent="0.2">
      <c r="A115" s="297">
        <v>90</v>
      </c>
      <c r="B115" s="282" t="s">
        <v>119</v>
      </c>
      <c r="C115" s="45"/>
      <c r="D115" s="133">
        <f>Produksi!F123</f>
        <v>43.426272003714594</v>
      </c>
      <c r="E115" s="333">
        <f>Stok!L120</f>
        <v>0</v>
      </c>
      <c r="F115" s="134">
        <f>'Impor_Pangan Masuk'!F122</f>
        <v>0</v>
      </c>
      <c r="G115" s="134">
        <f>'Ekspor_Pangan Keluar'!F122</f>
        <v>0</v>
      </c>
      <c r="H115" s="134">
        <f t="shared" si="27"/>
        <v>43.426272003714594</v>
      </c>
      <c r="I115" s="134">
        <f>'Pemakaian Dalam Negeri'!E127</f>
        <v>0</v>
      </c>
      <c r="J115" s="134">
        <f>'Pemakaian Dalam Negeri'!F127</f>
        <v>0</v>
      </c>
      <c r="K115" s="134">
        <f>'Pemakaian Dalam Negeri'!G127</f>
        <v>0</v>
      </c>
      <c r="L115" s="134">
        <f>'Pemakaian Dalam Negeri'!H127</f>
        <v>3.4741017602971679E-2</v>
      </c>
      <c r="M115" s="134">
        <f>'Pemakaian Dalam Negeri'!I127</f>
        <v>0</v>
      </c>
      <c r="N115" s="134">
        <f>'Pemakaian Dalam Negeri'!J127</f>
        <v>43.391530986111626</v>
      </c>
      <c r="O115" s="126">
        <f t="shared" si="16"/>
        <v>0.17489180381738226</v>
      </c>
      <c r="P115" s="126">
        <f t="shared" si="17"/>
        <v>0.47915562689693769</v>
      </c>
      <c r="Q115" s="122">
        <f t="shared" si="28"/>
        <v>0.73789966542128405</v>
      </c>
      <c r="R115" s="126">
        <f t="shared" si="29"/>
        <v>7.9539834064891665E-2</v>
      </c>
      <c r="S115" s="127">
        <f t="shared" si="30"/>
        <v>4.4082317674518263E-2</v>
      </c>
      <c r="T115" s="466">
        <v>100</v>
      </c>
      <c r="U115" s="471">
        <v>154</v>
      </c>
      <c r="V115" s="381">
        <v>16.600000000000001</v>
      </c>
      <c r="W115" s="382">
        <v>9.1999999999999993</v>
      </c>
      <c r="X115" s="187">
        <v>0</v>
      </c>
      <c r="Y115" s="187">
        <v>0.09</v>
      </c>
      <c r="Z115" s="187">
        <v>0</v>
      </c>
      <c r="AA115" s="187">
        <v>11</v>
      </c>
      <c r="AB115" s="187">
        <v>124</v>
      </c>
      <c r="AC115" s="364">
        <v>1</v>
      </c>
      <c r="AE115" s="56">
        <v>100</v>
      </c>
      <c r="AF115" s="56">
        <v>149</v>
      </c>
      <c r="AG115" s="56">
        <v>46.6</v>
      </c>
      <c r="AH115" s="56">
        <v>9.1999999999999993</v>
      </c>
    </row>
    <row r="116" spans="1:34" ht="14.1" customHeight="1" x14ac:dyDescent="0.2">
      <c r="A116" s="297">
        <v>91</v>
      </c>
      <c r="B116" s="282" t="s">
        <v>120</v>
      </c>
      <c r="C116" s="45"/>
      <c r="D116" s="133">
        <f>Produksi!F124</f>
        <v>0</v>
      </c>
      <c r="E116" s="333">
        <f>Stok!L121</f>
        <v>0</v>
      </c>
      <c r="F116" s="134">
        <f>'Impor_Pangan Masuk'!F123</f>
        <v>0</v>
      </c>
      <c r="G116" s="134">
        <f>'Ekspor_Pangan Keluar'!F123</f>
        <v>0</v>
      </c>
      <c r="H116" s="134">
        <f t="shared" si="27"/>
        <v>0</v>
      </c>
      <c r="I116" s="134">
        <f>'Pemakaian Dalam Negeri'!E128</f>
        <v>0</v>
      </c>
      <c r="J116" s="134">
        <f>'Pemakaian Dalam Negeri'!F128</f>
        <v>0</v>
      </c>
      <c r="K116" s="134">
        <f>'Pemakaian Dalam Negeri'!G128</f>
        <v>0</v>
      </c>
      <c r="L116" s="134">
        <f>'Pemakaian Dalam Negeri'!H128</f>
        <v>0</v>
      </c>
      <c r="M116" s="134">
        <f>'Pemakaian Dalam Negeri'!I128</f>
        <v>0</v>
      </c>
      <c r="N116" s="134">
        <f>'Pemakaian Dalam Negeri'!J128</f>
        <v>0</v>
      </c>
      <c r="O116" s="126">
        <f t="shared" si="16"/>
        <v>0</v>
      </c>
      <c r="P116" s="126">
        <f t="shared" si="17"/>
        <v>0</v>
      </c>
      <c r="Q116" s="122">
        <f t="shared" si="28"/>
        <v>0</v>
      </c>
      <c r="R116" s="126">
        <f t="shared" si="29"/>
        <v>0</v>
      </c>
      <c r="S116" s="127">
        <f t="shared" si="30"/>
        <v>0</v>
      </c>
      <c r="T116" s="466">
        <v>100</v>
      </c>
      <c r="U116" s="471">
        <v>260</v>
      </c>
      <c r="V116" s="381">
        <v>16.399999999999999</v>
      </c>
      <c r="W116" s="382">
        <v>21.3</v>
      </c>
      <c r="X116" s="187">
        <v>0</v>
      </c>
      <c r="Y116" s="187">
        <v>0.15</v>
      </c>
      <c r="Z116" s="187">
        <v>0</v>
      </c>
      <c r="AA116" s="187">
        <v>10</v>
      </c>
      <c r="AB116" s="187">
        <v>191</v>
      </c>
      <c r="AC116" s="364">
        <v>2.6</v>
      </c>
      <c r="AE116" s="56"/>
      <c r="AF116" s="56"/>
      <c r="AG116" s="56"/>
      <c r="AH116" s="56"/>
    </row>
    <row r="117" spans="1:34" ht="14.1" customHeight="1" x14ac:dyDescent="0.2">
      <c r="A117" s="297">
        <v>92</v>
      </c>
      <c r="B117" s="282" t="s">
        <v>121</v>
      </c>
      <c r="C117" s="45"/>
      <c r="D117" s="133">
        <f>Produksi!F125</f>
        <v>0</v>
      </c>
      <c r="E117" s="333">
        <f>Stok!L122</f>
        <v>0</v>
      </c>
      <c r="F117" s="134">
        <f>'Impor_Pangan Masuk'!F124</f>
        <v>0</v>
      </c>
      <c r="G117" s="134">
        <f>'Ekspor_Pangan Keluar'!F124</f>
        <v>0</v>
      </c>
      <c r="H117" s="134">
        <f t="shared" si="27"/>
        <v>0</v>
      </c>
      <c r="I117" s="134">
        <f>'Pemakaian Dalam Negeri'!E129</f>
        <v>0</v>
      </c>
      <c r="J117" s="134">
        <f>'Pemakaian Dalam Negeri'!F129</f>
        <v>0</v>
      </c>
      <c r="K117" s="134">
        <f>'Pemakaian Dalam Negeri'!G129</f>
        <v>0</v>
      </c>
      <c r="L117" s="134">
        <f>'Pemakaian Dalam Negeri'!H129</f>
        <v>0</v>
      </c>
      <c r="M117" s="134">
        <f>'Pemakaian Dalam Negeri'!I129</f>
        <v>0</v>
      </c>
      <c r="N117" s="134">
        <f>'Pemakaian Dalam Negeri'!J129</f>
        <v>0</v>
      </c>
      <c r="O117" s="126">
        <f t="shared" si="16"/>
        <v>0</v>
      </c>
      <c r="P117" s="126">
        <f t="shared" si="17"/>
        <v>0</v>
      </c>
      <c r="Q117" s="122">
        <f t="shared" si="28"/>
        <v>0</v>
      </c>
      <c r="R117" s="126">
        <f t="shared" si="29"/>
        <v>0</v>
      </c>
      <c r="S117" s="127">
        <f t="shared" si="30"/>
        <v>0</v>
      </c>
      <c r="T117" s="466">
        <v>100</v>
      </c>
      <c r="U117" s="471">
        <v>113</v>
      </c>
      <c r="V117" s="381">
        <v>18.100000000000001</v>
      </c>
      <c r="W117" s="382">
        <v>4.0999999999999996</v>
      </c>
      <c r="X117" s="187">
        <v>0</v>
      </c>
      <c r="Y117" s="187">
        <v>7.0000000000000007E-2</v>
      </c>
      <c r="Z117" s="187">
        <v>0</v>
      </c>
      <c r="AA117" s="187">
        <v>10</v>
      </c>
      <c r="AB117" s="187">
        <v>150</v>
      </c>
      <c r="AC117" s="364">
        <v>2.7</v>
      </c>
      <c r="AE117" s="56">
        <v>100</v>
      </c>
      <c r="AF117" s="56">
        <v>113</v>
      </c>
      <c r="AG117" s="56">
        <v>18.100000000000001</v>
      </c>
      <c r="AH117" s="56">
        <v>4.0999999999999996</v>
      </c>
    </row>
    <row r="118" spans="1:34" ht="14.1" customHeight="1" x14ac:dyDescent="0.2">
      <c r="A118" s="297">
        <v>93</v>
      </c>
      <c r="B118" s="282" t="s">
        <v>122</v>
      </c>
      <c r="C118" s="45"/>
      <c r="D118" s="133">
        <f>Produksi!F126</f>
        <v>0</v>
      </c>
      <c r="E118" s="333">
        <f>Stok!L123</f>
        <v>0</v>
      </c>
      <c r="F118" s="134">
        <f>'Impor_Pangan Masuk'!F125</f>
        <v>0</v>
      </c>
      <c r="G118" s="134">
        <f>'Ekspor_Pangan Keluar'!F125</f>
        <v>0</v>
      </c>
      <c r="H118" s="134">
        <f t="shared" si="27"/>
        <v>0</v>
      </c>
      <c r="I118" s="134">
        <f>'Pemakaian Dalam Negeri'!E130</f>
        <v>0</v>
      </c>
      <c r="J118" s="134">
        <f>'Pemakaian Dalam Negeri'!F130</f>
        <v>0</v>
      </c>
      <c r="K118" s="134">
        <f>'Pemakaian Dalam Negeri'!G130</f>
        <v>0</v>
      </c>
      <c r="L118" s="134">
        <f>'Pemakaian Dalam Negeri'!H130</f>
        <v>0</v>
      </c>
      <c r="M118" s="134">
        <f>'Pemakaian Dalam Negeri'!I130</f>
        <v>0</v>
      </c>
      <c r="N118" s="134">
        <f>'Pemakaian Dalam Negeri'!J130</f>
        <v>0</v>
      </c>
      <c r="O118" s="126">
        <f t="shared" si="16"/>
        <v>0</v>
      </c>
      <c r="P118" s="126">
        <f t="shared" si="17"/>
        <v>0</v>
      </c>
      <c r="Q118" s="122">
        <f t="shared" si="28"/>
        <v>0</v>
      </c>
      <c r="R118" s="126">
        <f t="shared" si="29"/>
        <v>0</v>
      </c>
      <c r="S118" s="127">
        <f t="shared" si="30"/>
        <v>0</v>
      </c>
      <c r="T118" s="466">
        <v>100</v>
      </c>
      <c r="U118" s="471">
        <v>416.5</v>
      </c>
      <c r="V118" s="381">
        <v>13</v>
      </c>
      <c r="W118" s="382">
        <v>40</v>
      </c>
      <c r="X118" s="187">
        <v>0</v>
      </c>
      <c r="Y118" s="187">
        <v>0.6</v>
      </c>
      <c r="Z118" s="187">
        <v>0</v>
      </c>
      <c r="AA118" s="187">
        <v>7.5</v>
      </c>
      <c r="AB118" s="187">
        <v>134</v>
      </c>
      <c r="AC118" s="364">
        <v>3.9</v>
      </c>
      <c r="AE118" s="56">
        <v>100</v>
      </c>
      <c r="AF118" s="56">
        <v>412</v>
      </c>
      <c r="AG118" s="56">
        <v>13</v>
      </c>
      <c r="AH118" s="56">
        <v>40</v>
      </c>
    </row>
    <row r="119" spans="1:34" ht="14.1" customHeight="1" x14ac:dyDescent="0.2">
      <c r="A119" s="297">
        <v>94</v>
      </c>
      <c r="B119" s="282" t="s">
        <v>123</v>
      </c>
      <c r="C119" s="45"/>
      <c r="D119" s="133">
        <f>Produksi!F127</f>
        <v>218.5047229722</v>
      </c>
      <c r="E119" s="333">
        <f>Stok!L124</f>
        <v>0</v>
      </c>
      <c r="F119" s="134">
        <f>'Impor_Pangan Masuk'!F126</f>
        <v>1500</v>
      </c>
      <c r="G119" s="134">
        <f>'Ekspor_Pangan Keluar'!F126</f>
        <v>0</v>
      </c>
      <c r="H119" s="134">
        <f t="shared" si="27"/>
        <v>1718.5047229721999</v>
      </c>
      <c r="I119" s="134">
        <f>'Pemakaian Dalam Negeri'!E131</f>
        <v>0</v>
      </c>
      <c r="J119" s="134">
        <f>'Pemakaian Dalam Negeri'!F131</f>
        <v>0</v>
      </c>
      <c r="K119" s="134">
        <f>'Pemakaian Dalam Negeri'!G131</f>
        <v>0</v>
      </c>
      <c r="L119" s="134">
        <f>'Pemakaian Dalam Negeri'!H131</f>
        <v>1.37480377837776</v>
      </c>
      <c r="M119" s="134">
        <f>'Pemakaian Dalam Negeri'!I131</f>
        <v>0</v>
      </c>
      <c r="N119" s="134">
        <f>'Pemakaian Dalam Negeri'!J131</f>
        <v>1717.1299191938222</v>
      </c>
      <c r="O119" s="126">
        <f t="shared" si="16"/>
        <v>6.9209807105613432</v>
      </c>
      <c r="P119" s="126">
        <f t="shared" si="17"/>
        <v>18.961590987839298</v>
      </c>
      <c r="Q119" s="122">
        <f t="shared" si="28"/>
        <v>33.213122774299315</v>
      </c>
      <c r="R119" s="126">
        <f t="shared" si="29"/>
        <v>2.001585544676316</v>
      </c>
      <c r="S119" s="127">
        <f t="shared" si="30"/>
        <v>2.7494306932366981</v>
      </c>
      <c r="T119" s="466">
        <v>58</v>
      </c>
      <c r="U119" s="471">
        <v>302</v>
      </c>
      <c r="V119" s="381">
        <v>18.2</v>
      </c>
      <c r="W119" s="382">
        <v>25</v>
      </c>
      <c r="X119" s="187">
        <v>810</v>
      </c>
      <c r="Y119" s="187">
        <v>0.08</v>
      </c>
      <c r="Z119" s="187">
        <v>0</v>
      </c>
      <c r="AA119" s="187">
        <v>14</v>
      </c>
      <c r="AB119" s="187">
        <v>200</v>
      </c>
      <c r="AC119" s="364">
        <v>1.5</v>
      </c>
      <c r="AE119" s="56">
        <v>58</v>
      </c>
      <c r="AF119" s="56">
        <v>298</v>
      </c>
      <c r="AG119" s="56">
        <v>18.2</v>
      </c>
      <c r="AH119" s="56">
        <v>25</v>
      </c>
    </row>
    <row r="120" spans="1:34" ht="14.1" customHeight="1" x14ac:dyDescent="0.2">
      <c r="A120" s="297">
        <v>95</v>
      </c>
      <c r="B120" s="282" t="s">
        <v>598</v>
      </c>
      <c r="C120" s="45"/>
      <c r="D120" s="133">
        <f>Produksi!F128</f>
        <v>4500.6264758545003</v>
      </c>
      <c r="E120" s="333">
        <f>Stok!L125</f>
        <v>0</v>
      </c>
      <c r="F120" s="134">
        <f>'Impor_Pangan Masuk'!F127</f>
        <v>3738.2591917103459</v>
      </c>
      <c r="G120" s="134">
        <f>'Ekspor_Pangan Keluar'!F127</f>
        <v>0</v>
      </c>
      <c r="H120" s="134">
        <f t="shared" si="27"/>
        <v>8238.8856675648458</v>
      </c>
      <c r="I120" s="134">
        <f>'Pemakaian Dalam Negeri'!E132</f>
        <v>0</v>
      </c>
      <c r="J120" s="134">
        <f>'Pemakaian Dalam Negeri'!F132</f>
        <v>0</v>
      </c>
      <c r="K120" s="134">
        <f>'Pemakaian Dalam Negeri'!G132</f>
        <v>0</v>
      </c>
      <c r="L120" s="134">
        <f>'Pemakaian Dalam Negeri'!H132</f>
        <v>6.5911085340518767</v>
      </c>
      <c r="M120" s="134">
        <f>'Pemakaian Dalam Negeri'!I132</f>
        <v>0</v>
      </c>
      <c r="N120" s="134">
        <f>'Pemakaian Dalam Negeri'!J132</f>
        <v>8232.2945590307936</v>
      </c>
      <c r="O120" s="126">
        <f t="shared" si="16"/>
        <v>33.180687850026374</v>
      </c>
      <c r="P120" s="126">
        <f t="shared" si="17"/>
        <v>90.905994109661293</v>
      </c>
      <c r="Q120" s="122">
        <f t="shared" si="28"/>
        <v>159.23093928248272</v>
      </c>
      <c r="R120" s="126">
        <f t="shared" si="29"/>
        <v>9.5960367382158456</v>
      </c>
      <c r="S120" s="127">
        <f t="shared" si="30"/>
        <v>13.181369145900886</v>
      </c>
      <c r="T120" s="466">
        <v>58</v>
      </c>
      <c r="U120" s="471">
        <v>302</v>
      </c>
      <c r="V120" s="381">
        <v>18.2</v>
      </c>
      <c r="W120" s="382">
        <v>25</v>
      </c>
      <c r="X120" s="187">
        <v>810</v>
      </c>
      <c r="Y120" s="187">
        <v>0.08</v>
      </c>
      <c r="Z120" s="187">
        <v>0</v>
      </c>
      <c r="AA120" s="187">
        <v>14</v>
      </c>
      <c r="AB120" s="187">
        <v>200</v>
      </c>
      <c r="AC120" s="364">
        <v>1.5</v>
      </c>
      <c r="AE120" s="56">
        <v>58</v>
      </c>
      <c r="AF120" s="56">
        <v>298</v>
      </c>
      <c r="AG120" s="56">
        <v>18.2</v>
      </c>
      <c r="AH120" s="56">
        <v>25</v>
      </c>
    </row>
    <row r="121" spans="1:34" ht="14.1" customHeight="1" x14ac:dyDescent="0.2">
      <c r="A121" s="297">
        <v>96</v>
      </c>
      <c r="B121" s="282" t="s">
        <v>125</v>
      </c>
      <c r="C121" s="45"/>
      <c r="D121" s="133">
        <f>Produksi!F129</f>
        <v>10.16115008265</v>
      </c>
      <c r="E121" s="333">
        <f>Stok!L126</f>
        <v>0</v>
      </c>
      <c r="F121" s="134">
        <f>'Impor_Pangan Masuk'!F128</f>
        <v>550</v>
      </c>
      <c r="G121" s="134">
        <f>'Ekspor_Pangan Keluar'!F128</f>
        <v>0</v>
      </c>
      <c r="H121" s="134">
        <f t="shared" si="27"/>
        <v>560.16115008265001</v>
      </c>
      <c r="I121" s="134">
        <f>'Pemakaian Dalam Negeri'!E133</f>
        <v>0</v>
      </c>
      <c r="J121" s="134">
        <f>'Pemakaian Dalam Negeri'!F133</f>
        <v>0</v>
      </c>
      <c r="K121" s="134">
        <f>'Pemakaian Dalam Negeri'!G133</f>
        <v>0</v>
      </c>
      <c r="L121" s="134">
        <f>'Pemakaian Dalam Negeri'!H133</f>
        <v>0.44812892006612004</v>
      </c>
      <c r="M121" s="134">
        <f>'Pemakaian Dalam Negeri'!I133</f>
        <v>0</v>
      </c>
      <c r="N121" s="134">
        <f>'Pemakaian Dalam Negeri'!J133</f>
        <v>559.71302116258391</v>
      </c>
      <c r="O121" s="126">
        <f t="shared" si="16"/>
        <v>2.2559522023441039</v>
      </c>
      <c r="P121" s="126">
        <f t="shared" si="17"/>
        <v>6.1806909653263116</v>
      </c>
      <c r="Q121" s="122">
        <f t="shared" si="28"/>
        <v>11.570253487090856</v>
      </c>
      <c r="R121" s="126">
        <f t="shared" si="29"/>
        <v>0.50805279734982278</v>
      </c>
      <c r="S121" s="127">
        <f t="shared" si="30"/>
        <v>1.030939253016429</v>
      </c>
      <c r="T121" s="466">
        <v>60</v>
      </c>
      <c r="U121" s="471">
        <v>312</v>
      </c>
      <c r="V121" s="381">
        <v>13.7</v>
      </c>
      <c r="W121" s="382">
        <v>27.8</v>
      </c>
      <c r="X121" s="187">
        <v>900</v>
      </c>
      <c r="Y121" s="187">
        <v>0.1</v>
      </c>
      <c r="Z121" s="187">
        <v>0</v>
      </c>
      <c r="AA121" s="187">
        <v>15</v>
      </c>
      <c r="AB121" s="187">
        <v>188</v>
      </c>
      <c r="AC121" s="364">
        <v>1.8</v>
      </c>
      <c r="AE121" s="56">
        <v>60</v>
      </c>
      <c r="AF121" s="56">
        <v>321</v>
      </c>
      <c r="AG121" s="56">
        <v>16</v>
      </c>
      <c r="AH121" s="56">
        <v>28.6</v>
      </c>
    </row>
    <row r="122" spans="1:34" ht="14.1" customHeight="1" x14ac:dyDescent="0.2">
      <c r="A122" s="297">
        <v>97</v>
      </c>
      <c r="B122" s="282" t="s">
        <v>126</v>
      </c>
      <c r="C122" s="45"/>
      <c r="D122" s="133">
        <f>Produksi!F130</f>
        <v>6.8619012000000001</v>
      </c>
      <c r="E122" s="333">
        <f>Stok!L127</f>
        <v>0</v>
      </c>
      <c r="F122" s="134">
        <f>'Impor_Pangan Masuk'!F129</f>
        <v>0</v>
      </c>
      <c r="G122" s="134">
        <f>'Ekspor_Pangan Keluar'!F129</f>
        <v>0</v>
      </c>
      <c r="H122" s="134">
        <f t="shared" si="27"/>
        <v>6.8619012000000001</v>
      </c>
      <c r="I122" s="134">
        <f>'Pemakaian Dalam Negeri'!E134</f>
        <v>0</v>
      </c>
      <c r="J122" s="134">
        <f>'Pemakaian Dalam Negeri'!F134</f>
        <v>0</v>
      </c>
      <c r="K122" s="134">
        <f>'Pemakaian Dalam Negeri'!G134</f>
        <v>0</v>
      </c>
      <c r="L122" s="134">
        <f>'Pemakaian Dalam Negeri'!H134</f>
        <v>5.48952096E-3</v>
      </c>
      <c r="M122" s="134">
        <f>'Pemakaian Dalam Negeri'!I134</f>
        <v>0</v>
      </c>
      <c r="N122" s="134">
        <f>'Pemakaian Dalam Negeri'!J134</f>
        <v>6.8564116790399998</v>
      </c>
      <c r="O122" s="126">
        <f t="shared" si="16"/>
        <v>2.7635120932830857E-2</v>
      </c>
      <c r="P122" s="126">
        <f t="shared" si="17"/>
        <v>7.571266008994755E-2</v>
      </c>
      <c r="Q122" s="122">
        <f t="shared" si="28"/>
        <v>0.14930536569737657</v>
      </c>
      <c r="R122" s="126">
        <f t="shared" si="29"/>
        <v>7.6848349991296763E-3</v>
      </c>
      <c r="S122" s="127">
        <f t="shared" si="30"/>
        <v>1.3174002855650874E-2</v>
      </c>
      <c r="T122" s="466">
        <v>58</v>
      </c>
      <c r="U122" s="471">
        <v>340</v>
      </c>
      <c r="V122" s="381">
        <v>17.5</v>
      </c>
      <c r="W122" s="382">
        <v>30</v>
      </c>
      <c r="X122" s="187"/>
      <c r="Y122" s="187"/>
      <c r="Z122" s="187"/>
      <c r="AA122" s="187"/>
      <c r="AB122" s="187"/>
      <c r="AC122" s="364"/>
      <c r="AE122" s="358"/>
      <c r="AF122" s="358"/>
      <c r="AG122" s="358"/>
      <c r="AH122" s="358"/>
    </row>
    <row r="123" spans="1:34" ht="14.1" customHeight="1" x14ac:dyDescent="0.2">
      <c r="A123" s="297">
        <v>98</v>
      </c>
      <c r="B123" s="282" t="s">
        <v>127</v>
      </c>
      <c r="C123" s="45"/>
      <c r="D123" s="133">
        <f>Produksi!F131</f>
        <v>844.71164549075263</v>
      </c>
      <c r="E123" s="333">
        <f>Stok!L128</f>
        <v>0</v>
      </c>
      <c r="F123" s="134">
        <f>'Impor_Pangan Masuk'!F130</f>
        <v>0</v>
      </c>
      <c r="G123" s="134">
        <f>'Ekspor_Pangan Keluar'!F130</f>
        <v>0</v>
      </c>
      <c r="H123" s="134">
        <f t="shared" si="27"/>
        <v>844.71164549075263</v>
      </c>
      <c r="I123" s="134">
        <f>'Pemakaian Dalam Negeri'!E135</f>
        <v>0</v>
      </c>
      <c r="J123" s="134">
        <f>'Pemakaian Dalam Negeri'!F135</f>
        <v>0</v>
      </c>
      <c r="K123" s="134">
        <f>'Pemakaian Dalam Negeri'!G135</f>
        <v>0</v>
      </c>
      <c r="L123" s="134">
        <f>'Pemakaian Dalam Negeri'!H135</f>
        <v>0.67576931639260218</v>
      </c>
      <c r="M123" s="134">
        <f>'Pemakaian Dalam Negeri'!I135</f>
        <v>0</v>
      </c>
      <c r="N123" s="134">
        <f>'Pemakaian Dalam Negeri'!J135</f>
        <v>844.03587617436006</v>
      </c>
      <c r="O123" s="126">
        <f t="shared" si="16"/>
        <v>3.4019301351216624</v>
      </c>
      <c r="P123" s="126">
        <f t="shared" si="17"/>
        <v>9.3203565345798971</v>
      </c>
      <c r="Q123" s="122">
        <f t="shared" si="28"/>
        <v>11.836852798916469</v>
      </c>
      <c r="R123" s="126">
        <f t="shared" si="29"/>
        <v>1.4632959759290438</v>
      </c>
      <c r="S123" s="127">
        <f t="shared" si="30"/>
        <v>0.59650281821311346</v>
      </c>
      <c r="T123" s="466">
        <v>100</v>
      </c>
      <c r="U123" s="471">
        <v>127</v>
      </c>
      <c r="V123" s="381">
        <v>15.7</v>
      </c>
      <c r="W123" s="382">
        <v>6.4</v>
      </c>
      <c r="X123" s="187"/>
      <c r="Y123" s="187"/>
      <c r="Z123" s="187"/>
      <c r="AA123" s="187"/>
      <c r="AB123" s="187"/>
      <c r="AC123" s="364"/>
      <c r="AE123" s="56"/>
      <c r="AF123" s="56"/>
      <c r="AG123" s="56"/>
      <c r="AH123" s="56"/>
    </row>
    <row r="124" spans="1:34" ht="14.1" customHeight="1" x14ac:dyDescent="0.2">
      <c r="A124" s="297"/>
      <c r="B124" s="298"/>
      <c r="C124" s="282"/>
      <c r="D124" s="133"/>
      <c r="E124" s="333"/>
      <c r="F124" s="134"/>
      <c r="G124" s="134"/>
      <c r="H124" s="134"/>
      <c r="I124" s="134"/>
      <c r="J124" s="134"/>
      <c r="K124" s="134"/>
      <c r="L124" s="134"/>
      <c r="M124" s="134"/>
      <c r="N124" s="134"/>
      <c r="O124" s="126"/>
      <c r="P124" s="126"/>
      <c r="Q124" s="122"/>
      <c r="R124" s="126"/>
      <c r="S124" s="127"/>
      <c r="T124" s="466"/>
      <c r="U124" s="471"/>
      <c r="V124" s="381"/>
      <c r="W124" s="382"/>
      <c r="X124" s="187"/>
      <c r="Y124" s="187"/>
      <c r="Z124" s="187"/>
      <c r="AA124" s="187"/>
      <c r="AB124" s="187"/>
      <c r="AC124" s="364"/>
      <c r="AE124" s="56"/>
      <c r="AF124" s="56"/>
      <c r="AG124" s="56"/>
      <c r="AH124" s="56"/>
    </row>
    <row r="125" spans="1:34" ht="14.1" customHeight="1" thickBot="1" x14ac:dyDescent="0.25">
      <c r="A125" s="336" t="s">
        <v>128</v>
      </c>
      <c r="B125" s="282"/>
      <c r="C125" s="282"/>
      <c r="D125" s="133"/>
      <c r="E125" s="333"/>
      <c r="F125" s="134"/>
      <c r="G125" s="134"/>
      <c r="H125" s="134"/>
      <c r="I125" s="134"/>
      <c r="J125" s="134"/>
      <c r="K125" s="134"/>
      <c r="L125" s="134"/>
      <c r="M125" s="134"/>
      <c r="N125" s="134"/>
      <c r="O125" s="126"/>
      <c r="P125" s="126"/>
      <c r="Q125" s="567">
        <f>SUM(Q126:Q129)</f>
        <v>101.82210300613227</v>
      </c>
      <c r="R125" s="340">
        <f t="shared" ref="R125:S125" si="31">SUM(R126:R129)</f>
        <v>7.9898494153088757</v>
      </c>
      <c r="S125" s="340">
        <f t="shared" si="31"/>
        <v>7.2423273186790071</v>
      </c>
      <c r="T125" s="466"/>
      <c r="U125" s="471"/>
      <c r="V125" s="381"/>
      <c r="W125" s="382"/>
      <c r="X125" s="187"/>
      <c r="Y125" s="187"/>
      <c r="Z125" s="187"/>
      <c r="AA125" s="187"/>
      <c r="AB125" s="187"/>
      <c r="AC125" s="364"/>
      <c r="AE125" s="56"/>
      <c r="AF125" s="56"/>
      <c r="AG125" s="56"/>
      <c r="AH125" s="56"/>
    </row>
    <row r="126" spans="1:34" ht="14.1" customHeight="1" x14ac:dyDescent="0.2">
      <c r="A126" s="297">
        <v>99</v>
      </c>
      <c r="B126" s="296" t="s">
        <v>129</v>
      </c>
      <c r="C126" s="45"/>
      <c r="D126" s="133">
        <f>Produksi!F134</f>
        <v>131.24472141375</v>
      </c>
      <c r="E126" s="333">
        <f>Stok!L131</f>
        <v>0</v>
      </c>
      <c r="F126" s="134">
        <f>'Impor_Pangan Masuk'!F133</f>
        <v>850</v>
      </c>
      <c r="G126" s="134">
        <f>'Ekspor_Pangan Keluar'!F133</f>
        <v>0</v>
      </c>
      <c r="H126" s="134">
        <f t="shared" si="27"/>
        <v>981.24472141374997</v>
      </c>
      <c r="I126" s="134">
        <f>'Pemakaian Dalam Negeri'!E138</f>
        <v>0</v>
      </c>
      <c r="J126" s="134">
        <f>'Pemakaian Dalam Negeri'!F138</f>
        <v>245.31118035343749</v>
      </c>
      <c r="K126" s="134">
        <f>'Pemakaian Dalam Negeri'!G138</f>
        <v>0</v>
      </c>
      <c r="L126" s="134">
        <f>'Pemakaian Dalam Negeri'!H138</f>
        <v>37.876046246570752</v>
      </c>
      <c r="M126" s="134">
        <f>'Pemakaian Dalam Negeri'!I138</f>
        <v>0</v>
      </c>
      <c r="N126" s="134">
        <f>'Pemakaian Dalam Negeri'!J138</f>
        <v>698.05749481374164</v>
      </c>
      <c r="O126" s="126">
        <f t="shared" si="16"/>
        <v>2.8135567393391572</v>
      </c>
      <c r="P126" s="126">
        <f t="shared" si="17"/>
        <v>7.7083746283264585</v>
      </c>
      <c r="Q126" s="568">
        <f>P126/100*T126/100*U126</f>
        <v>9.5599262140504759</v>
      </c>
      <c r="R126" s="177">
        <f>P126/100*T126/100*V126</f>
        <v>0.62715335976064068</v>
      </c>
      <c r="S126" s="178">
        <f>P126/100*T126/100*W126</f>
        <v>0.73537893954234423</v>
      </c>
      <c r="T126" s="466">
        <v>90</v>
      </c>
      <c r="U126" s="471">
        <f>68.9*2</f>
        <v>137.80000000000001</v>
      </c>
      <c r="V126" s="381">
        <f>4.52*2</f>
        <v>9.0399999999999991</v>
      </c>
      <c r="W126" s="382">
        <f>5.3*2</f>
        <v>10.6</v>
      </c>
      <c r="X126" s="187">
        <v>900</v>
      </c>
      <c r="Y126" s="187">
        <v>0.1</v>
      </c>
      <c r="Z126" s="187">
        <v>0</v>
      </c>
      <c r="AA126" s="187">
        <v>54</v>
      </c>
      <c r="AB126" s="187">
        <v>180</v>
      </c>
      <c r="AC126" s="364">
        <v>2.7</v>
      </c>
      <c r="AE126" s="56">
        <v>87</v>
      </c>
      <c r="AF126" s="56">
        <v>174</v>
      </c>
      <c r="AG126" s="56">
        <v>10.8</v>
      </c>
      <c r="AH126" s="56">
        <v>14</v>
      </c>
    </row>
    <row r="127" spans="1:34" ht="14.1" customHeight="1" x14ac:dyDescent="0.2">
      <c r="A127" s="297">
        <v>100</v>
      </c>
      <c r="B127" s="296" t="s">
        <v>175</v>
      </c>
      <c r="C127" s="45"/>
      <c r="D127" s="133">
        <f>Produksi!F135</f>
        <v>538.91259985080001</v>
      </c>
      <c r="E127" s="333">
        <f>Stok!L132</f>
        <v>0</v>
      </c>
      <c r="F127" s="134">
        <f>'Impor_Pangan Masuk'!F134</f>
        <v>5712</v>
      </c>
      <c r="G127" s="134">
        <f>'Ekspor_Pangan Keluar'!F134</f>
        <v>0</v>
      </c>
      <c r="H127" s="134">
        <f t="shared" si="27"/>
        <v>6250.9125998507998</v>
      </c>
      <c r="I127" s="134">
        <f>'Pemakaian Dalam Negeri'!E139</f>
        <v>0</v>
      </c>
      <c r="J127" s="134">
        <f>'Pemakaian Dalam Negeri'!F139</f>
        <v>0</v>
      </c>
      <c r="K127" s="134">
        <f>'Pemakaian Dalam Negeri'!G139</f>
        <v>0</v>
      </c>
      <c r="L127" s="134">
        <f>'Pemakaian Dalam Negeri'!H139</f>
        <v>128.14370829694141</v>
      </c>
      <c r="M127" s="134">
        <f>'Pemakaian Dalam Negeri'!I139</f>
        <v>0</v>
      </c>
      <c r="N127" s="134">
        <f>'Pemakaian Dalam Negeri'!J139</f>
        <v>6122.7688915538583</v>
      </c>
      <c r="O127" s="126">
        <f t="shared" si="16"/>
        <v>24.678135835851183</v>
      </c>
      <c r="P127" s="126">
        <f t="shared" si="17"/>
        <v>67.61133105712652</v>
      </c>
      <c r="Q127" s="122">
        <f>P127/100*T127/100*U127</f>
        <v>83.401281312207843</v>
      </c>
      <c r="R127" s="126">
        <f>P127/100*T127/100*V127</f>
        <v>6.7178618538360899</v>
      </c>
      <c r="S127" s="127">
        <f>P127/100*T127/100*W127</f>
        <v>5.8477040231308717</v>
      </c>
      <c r="T127" s="466">
        <v>90</v>
      </c>
      <c r="U127" s="471">
        <v>137.06</v>
      </c>
      <c r="V127" s="381">
        <v>11.04</v>
      </c>
      <c r="W127" s="382">
        <v>9.61</v>
      </c>
      <c r="X127" s="187">
        <v>900</v>
      </c>
      <c r="Y127" s="187">
        <v>0.1</v>
      </c>
      <c r="Z127" s="187">
        <v>0</v>
      </c>
      <c r="AA127" s="187">
        <v>54</v>
      </c>
      <c r="AB127" s="187">
        <v>180</v>
      </c>
      <c r="AC127" s="364">
        <v>2.7</v>
      </c>
      <c r="AE127" s="56">
        <v>89</v>
      </c>
      <c r="AF127" s="56">
        <v>154</v>
      </c>
      <c r="AG127" s="56">
        <v>12.4</v>
      </c>
      <c r="AH127" s="56">
        <v>10.9</v>
      </c>
    </row>
    <row r="128" spans="1:34" ht="14.1" customHeight="1" x14ac:dyDescent="0.2">
      <c r="A128" s="297">
        <v>101</v>
      </c>
      <c r="B128" s="296" t="s">
        <v>130</v>
      </c>
      <c r="C128" s="45"/>
      <c r="D128" s="133">
        <f>Produksi!F136</f>
        <v>103.45018958295</v>
      </c>
      <c r="E128" s="333">
        <f>Stok!L133</f>
        <v>0</v>
      </c>
      <c r="F128" s="134">
        <f>'Impor_Pangan Masuk'!F135</f>
        <v>300</v>
      </c>
      <c r="G128" s="134">
        <f>'Ekspor_Pangan Keluar'!F135</f>
        <v>0</v>
      </c>
      <c r="H128" s="134">
        <f t="shared" si="27"/>
        <v>403.45018958294997</v>
      </c>
      <c r="I128" s="134">
        <f>'Pemakaian Dalam Negeri'!E140</f>
        <v>0</v>
      </c>
      <c r="J128" s="134">
        <f>'Pemakaian Dalam Negeri'!F140</f>
        <v>54.465775593698247</v>
      </c>
      <c r="K128" s="134">
        <f>'Pemakaian Dalam Negeri'!G140</f>
        <v>0</v>
      </c>
      <c r="L128" s="134">
        <f>'Pemakaian Dalam Negeri'!H140</f>
        <v>15.815247431651638</v>
      </c>
      <c r="M128" s="134">
        <f>'Pemakaian Dalam Negeri'!I140</f>
        <v>0</v>
      </c>
      <c r="N128" s="134">
        <f>'Pemakaian Dalam Negeri'!J140</f>
        <v>333.16916655760008</v>
      </c>
      <c r="O128" s="126">
        <f t="shared" si="16"/>
        <v>1.3428555110038092</v>
      </c>
      <c r="P128" s="126">
        <f t="shared" si="17"/>
        <v>3.6790561945309843</v>
      </c>
      <c r="Q128" s="122">
        <f>P128/100*T128/100*U128</f>
        <v>5.9316897444966701</v>
      </c>
      <c r="R128" s="126">
        <f>P128/100*T128/100*V128</f>
        <v>0.36706469232292033</v>
      </c>
      <c r="S128" s="127">
        <f>P128/100*T128/100*W128</f>
        <v>0.48248194093992047</v>
      </c>
      <c r="T128" s="466">
        <v>90</v>
      </c>
      <c r="U128" s="471">
        <f>100/70*125.4</f>
        <v>179.14285714285717</v>
      </c>
      <c r="V128" s="381">
        <v>11.0857142857143</v>
      </c>
      <c r="W128" s="382">
        <f>100/70*10.2</f>
        <v>14.571428571428571</v>
      </c>
      <c r="X128" s="187">
        <v>1230</v>
      </c>
      <c r="Y128" s="187">
        <v>0.18</v>
      </c>
      <c r="Z128" s="187">
        <v>0</v>
      </c>
      <c r="AA128" s="187">
        <v>56</v>
      </c>
      <c r="AB128" s="187">
        <v>175</v>
      </c>
      <c r="AC128" s="364">
        <v>2.8</v>
      </c>
      <c r="AE128" s="56">
        <v>90</v>
      </c>
      <c r="AF128" s="56">
        <v>187</v>
      </c>
      <c r="AG128" s="56" t="s">
        <v>555</v>
      </c>
      <c r="AH128" s="56">
        <v>13.3</v>
      </c>
    </row>
    <row r="129" spans="1:34" ht="14.1" customHeight="1" x14ac:dyDescent="0.2">
      <c r="A129" s="297">
        <v>102</v>
      </c>
      <c r="B129" s="296" t="s">
        <v>131</v>
      </c>
      <c r="C129" s="45"/>
      <c r="D129" s="133">
        <f>Produksi!F137</f>
        <v>54.084257639999997</v>
      </c>
      <c r="E129" s="333">
        <f>Stok!L134</f>
        <v>0</v>
      </c>
      <c r="F129" s="134">
        <f>'Impor_Pangan Masuk'!F136</f>
        <v>200</v>
      </c>
      <c r="G129" s="134">
        <f>'Ekspor_Pangan Keluar'!F136</f>
        <v>0</v>
      </c>
      <c r="H129" s="134">
        <f t="shared" si="27"/>
        <v>254.08425764</v>
      </c>
      <c r="I129" s="134">
        <f>'Pemakaian Dalam Negeri'!E141</f>
        <v>0</v>
      </c>
      <c r="J129" s="134">
        <f>'Pemakaian Dalam Negeri'!F141</f>
        <v>0</v>
      </c>
      <c r="K129" s="134">
        <f>'Pemakaian Dalam Negeri'!G141</f>
        <v>0</v>
      </c>
      <c r="L129" s="134">
        <f>'Pemakaian Dalam Negeri'!H141</f>
        <v>0</v>
      </c>
      <c r="M129" s="134">
        <f>'Pemakaian Dalam Negeri'!I141</f>
        <v>0</v>
      </c>
      <c r="N129" s="134">
        <f>'Pemakaian Dalam Negeri'!J141</f>
        <v>254.08425764</v>
      </c>
      <c r="O129" s="126">
        <f t="shared" si="16"/>
        <v>1.0240997063340118</v>
      </c>
      <c r="P129" s="126">
        <f t="shared" si="17"/>
        <v>2.805752620093183</v>
      </c>
      <c r="Q129" s="122">
        <f>P129/100*T129/100*U129</f>
        <v>2.9292057353772831</v>
      </c>
      <c r="R129" s="126">
        <f>P129/100*T129/100*V129</f>
        <v>0.27776950938922512</v>
      </c>
      <c r="S129" s="127">
        <f>P129/100*T129/100*W129</f>
        <v>0.17676241506587054</v>
      </c>
      <c r="T129" s="466">
        <v>90</v>
      </c>
      <c r="U129" s="471">
        <v>116</v>
      </c>
      <c r="V129" s="381">
        <v>11</v>
      </c>
      <c r="W129" s="382">
        <v>7</v>
      </c>
      <c r="X129" s="187"/>
      <c r="Y129" s="187"/>
      <c r="Z129" s="187"/>
      <c r="AA129" s="187"/>
      <c r="AB129" s="187"/>
      <c r="AC129" s="364"/>
      <c r="AE129" s="56">
        <v>100</v>
      </c>
      <c r="AF129" s="56">
        <v>116</v>
      </c>
      <c r="AG129" s="56">
        <v>10.7</v>
      </c>
      <c r="AH129" s="56">
        <v>7</v>
      </c>
    </row>
    <row r="130" spans="1:34" ht="14.1" customHeight="1" x14ac:dyDescent="0.2">
      <c r="A130" s="297"/>
      <c r="B130" s="282"/>
      <c r="C130" s="282"/>
      <c r="D130" s="133"/>
      <c r="E130" s="333"/>
      <c r="F130" s="134"/>
      <c r="G130" s="134"/>
      <c r="H130" s="134"/>
      <c r="I130" s="134"/>
      <c r="J130" s="134"/>
      <c r="K130" s="134"/>
      <c r="L130" s="134"/>
      <c r="M130" s="134"/>
      <c r="N130" s="134"/>
      <c r="O130" s="126"/>
      <c r="P130" s="126"/>
      <c r="Q130" s="122"/>
      <c r="R130" s="126"/>
      <c r="S130" s="127"/>
      <c r="T130" s="466"/>
      <c r="U130" s="471"/>
      <c r="V130" s="381"/>
      <c r="W130" s="382"/>
      <c r="X130" s="187"/>
      <c r="Y130" s="187"/>
      <c r="Z130" s="187"/>
      <c r="AA130" s="187"/>
      <c r="AB130" s="187"/>
      <c r="AC130" s="364"/>
      <c r="AE130" s="56"/>
      <c r="AF130" s="56"/>
      <c r="AG130" s="56"/>
      <c r="AH130" s="56"/>
    </row>
    <row r="131" spans="1:34" ht="14.1" customHeight="1" thickBot="1" x14ac:dyDescent="0.25">
      <c r="A131" s="336" t="s">
        <v>132</v>
      </c>
      <c r="B131" s="282"/>
      <c r="C131" s="282"/>
      <c r="D131" s="133"/>
      <c r="E131" s="333"/>
      <c r="F131" s="134"/>
      <c r="G131" s="134"/>
      <c r="H131" s="134"/>
      <c r="I131" s="134"/>
      <c r="J131" s="134"/>
      <c r="K131" s="134"/>
      <c r="L131" s="134"/>
      <c r="M131" s="134"/>
      <c r="N131" s="134"/>
      <c r="O131" s="126"/>
      <c r="P131" s="126"/>
      <c r="Q131" s="567">
        <f>SUM(Q132:Q133)</f>
        <v>0</v>
      </c>
      <c r="R131" s="340">
        <f t="shared" ref="R131:S131" si="32">SUM(R132:R133)</f>
        <v>0</v>
      </c>
      <c r="S131" s="340">
        <f t="shared" si="32"/>
        <v>0</v>
      </c>
      <c r="T131" s="466"/>
      <c r="U131" s="471"/>
      <c r="V131" s="381"/>
      <c r="W131" s="382"/>
      <c r="X131" s="187"/>
      <c r="Y131" s="187"/>
      <c r="Z131" s="187"/>
      <c r="AA131" s="187"/>
      <c r="AB131" s="187"/>
      <c r="AC131" s="364"/>
      <c r="AE131" s="56"/>
      <c r="AF131" s="56"/>
      <c r="AG131" s="56"/>
      <c r="AH131" s="56"/>
    </row>
    <row r="132" spans="1:34" ht="14.1" customHeight="1" x14ac:dyDescent="0.2">
      <c r="A132" s="297">
        <v>103</v>
      </c>
      <c r="B132" s="282" t="s">
        <v>133</v>
      </c>
      <c r="C132" s="45"/>
      <c r="D132" s="133">
        <f>Produksi!F140</f>
        <v>0</v>
      </c>
      <c r="E132" s="333">
        <f>Stok!L137</f>
        <v>0</v>
      </c>
      <c r="F132" s="134">
        <f>'Impor_Pangan Masuk'!F139</f>
        <v>0</v>
      </c>
      <c r="G132" s="134">
        <f>'Ekspor_Pangan Keluar'!F139</f>
        <v>0</v>
      </c>
      <c r="H132" s="134">
        <f t="shared" si="27"/>
        <v>0</v>
      </c>
      <c r="I132" s="134">
        <f>'Pemakaian Dalam Negeri'!E144</f>
        <v>0</v>
      </c>
      <c r="J132" s="134">
        <f>'Pemakaian Dalam Negeri'!F144</f>
        <v>0</v>
      </c>
      <c r="K132" s="134">
        <f>'Pemakaian Dalam Negeri'!G144</f>
        <v>0</v>
      </c>
      <c r="L132" s="134">
        <f>'Pemakaian Dalam Negeri'!H144</f>
        <v>0</v>
      </c>
      <c r="M132" s="134">
        <f>'Pemakaian Dalam Negeri'!I144</f>
        <v>0</v>
      </c>
      <c r="N132" s="134">
        <f>'Pemakaian Dalam Negeri'!J144</f>
        <v>0</v>
      </c>
      <c r="O132" s="126">
        <f t="shared" si="16"/>
        <v>0</v>
      </c>
      <c r="P132" s="126">
        <f t="shared" si="17"/>
        <v>0</v>
      </c>
      <c r="Q132" s="568">
        <f>P132/100*T132/100*U132</f>
        <v>0</v>
      </c>
      <c r="R132" s="177">
        <f>P132/100*T132/100*V132</f>
        <v>0</v>
      </c>
      <c r="S132" s="178">
        <f>P132/100*T132/100*W132</f>
        <v>0</v>
      </c>
      <c r="T132" s="466">
        <v>100</v>
      </c>
      <c r="U132" s="471">
        <v>61</v>
      </c>
      <c r="V132" s="381">
        <v>3.2</v>
      </c>
      <c r="W132" s="382">
        <v>3.5</v>
      </c>
      <c r="X132" s="187">
        <v>130</v>
      </c>
      <c r="Y132" s="187">
        <v>0.03</v>
      </c>
      <c r="Z132" s="187">
        <v>1</v>
      </c>
      <c r="AA132" s="187">
        <v>143</v>
      </c>
      <c r="AB132" s="187">
        <v>60</v>
      </c>
      <c r="AC132" s="364">
        <v>1.7</v>
      </c>
      <c r="AE132" s="56">
        <v>100</v>
      </c>
      <c r="AF132" s="56">
        <v>61</v>
      </c>
      <c r="AG132" s="56">
        <v>3.2</v>
      </c>
      <c r="AH132" s="56">
        <v>3.5</v>
      </c>
    </row>
    <row r="133" spans="1:34" ht="14.1" customHeight="1" x14ac:dyDescent="0.2">
      <c r="A133" s="297">
        <v>104</v>
      </c>
      <c r="B133" s="282" t="s">
        <v>425</v>
      </c>
      <c r="C133" s="45"/>
      <c r="D133" s="133">
        <f>Produksi!F141</f>
        <v>0</v>
      </c>
      <c r="E133" s="333">
        <f>Stok!L138</f>
        <v>0</v>
      </c>
      <c r="F133" s="134">
        <f>'Impor_Pangan Masuk'!F140</f>
        <v>0</v>
      </c>
      <c r="G133" s="134">
        <f>'Ekspor_Pangan Keluar'!F140</f>
        <v>0</v>
      </c>
      <c r="H133" s="134">
        <f t="shared" si="27"/>
        <v>0</v>
      </c>
      <c r="I133" s="134">
        <f>'Pemakaian Dalam Negeri'!E145</f>
        <v>0</v>
      </c>
      <c r="J133" s="134">
        <f>'Pemakaian Dalam Negeri'!F145</f>
        <v>0</v>
      </c>
      <c r="K133" s="134">
        <f>'Pemakaian Dalam Negeri'!G145</f>
        <v>0</v>
      </c>
      <c r="L133" s="134">
        <f>'Pemakaian Dalam Negeri'!H145</f>
        <v>0</v>
      </c>
      <c r="M133" s="134">
        <f>'Pemakaian Dalam Negeri'!I145</f>
        <v>0</v>
      </c>
      <c r="N133" s="134">
        <f>'Pemakaian Dalam Negeri'!J145</f>
        <v>0</v>
      </c>
      <c r="O133" s="126">
        <f t="shared" si="16"/>
        <v>0</v>
      </c>
      <c r="P133" s="126">
        <f t="shared" si="17"/>
        <v>0</v>
      </c>
      <c r="Q133" s="122">
        <f>P133/100*T133/100*U133</f>
        <v>0</v>
      </c>
      <c r="R133" s="126">
        <f>P133/100*T133/100*V133</f>
        <v>0</v>
      </c>
      <c r="S133" s="127">
        <f>P133/100*T133/100*W133</f>
        <v>0</v>
      </c>
      <c r="T133" s="466">
        <v>100</v>
      </c>
      <c r="U133" s="471">
        <v>61</v>
      </c>
      <c r="V133" s="381">
        <v>3.2</v>
      </c>
      <c r="W133" s="382">
        <v>3.5</v>
      </c>
      <c r="X133" s="187">
        <v>130</v>
      </c>
      <c r="Y133" s="187">
        <v>0.03</v>
      </c>
      <c r="Z133" s="187">
        <v>1</v>
      </c>
      <c r="AA133" s="187">
        <v>143</v>
      </c>
      <c r="AB133" s="187">
        <v>60</v>
      </c>
      <c r="AC133" s="364">
        <v>1.7</v>
      </c>
      <c r="AE133" s="358"/>
      <c r="AF133" s="358"/>
      <c r="AG133" s="358"/>
      <c r="AH133" s="358"/>
    </row>
    <row r="134" spans="1:34" x14ac:dyDescent="0.2">
      <c r="A134" s="297"/>
      <c r="B134" s="282"/>
      <c r="C134" s="282"/>
      <c r="D134" s="133"/>
      <c r="E134" s="333"/>
      <c r="F134" s="134"/>
      <c r="G134" s="134"/>
      <c r="H134" s="134"/>
      <c r="I134" s="134"/>
      <c r="J134" s="134"/>
      <c r="K134" s="134"/>
      <c r="L134" s="134"/>
      <c r="M134" s="134"/>
      <c r="N134" s="134"/>
      <c r="O134" s="126"/>
      <c r="P134" s="126"/>
      <c r="Q134" s="122"/>
      <c r="R134" s="126"/>
      <c r="S134" s="127"/>
      <c r="T134" s="466"/>
      <c r="U134" s="471"/>
      <c r="V134" s="381"/>
      <c r="W134" s="382"/>
      <c r="X134" s="187"/>
      <c r="Y134" s="187"/>
      <c r="Z134" s="187"/>
      <c r="AA134" s="187"/>
      <c r="AB134" s="187"/>
      <c r="AC134" s="364"/>
      <c r="AE134" s="56"/>
      <c r="AF134" s="56"/>
      <c r="AG134" s="56"/>
      <c r="AH134" s="56"/>
    </row>
    <row r="135" spans="1:34" ht="14.1" customHeight="1" thickBot="1" x14ac:dyDescent="0.25">
      <c r="A135" s="336" t="s">
        <v>135</v>
      </c>
      <c r="B135" s="282"/>
      <c r="C135" s="282"/>
      <c r="D135" s="133"/>
      <c r="E135" s="333"/>
      <c r="F135" s="134"/>
      <c r="G135" s="134"/>
      <c r="H135" s="134"/>
      <c r="I135" s="134"/>
      <c r="J135" s="134"/>
      <c r="K135" s="134"/>
      <c r="L135" s="134"/>
      <c r="M135" s="134"/>
      <c r="N135" s="134"/>
      <c r="O135" s="126"/>
      <c r="P135" s="126"/>
      <c r="Q135" s="567">
        <f>SUM(Q136:Q169)</f>
        <v>235.76393380501577</v>
      </c>
      <c r="R135" s="340">
        <f t="shared" ref="R135:S135" si="33">SUM(R136:R169)</f>
        <v>43.518385535625299</v>
      </c>
      <c r="S135" s="340">
        <f t="shared" si="33"/>
        <v>4.735188841393021</v>
      </c>
      <c r="T135" s="466"/>
      <c r="U135" s="471"/>
      <c r="V135" s="381"/>
      <c r="W135" s="382"/>
      <c r="X135" s="187"/>
      <c r="Y135" s="187"/>
      <c r="Z135" s="187"/>
      <c r="AA135" s="187"/>
      <c r="AB135" s="187"/>
      <c r="AC135" s="364"/>
      <c r="AE135" s="56"/>
      <c r="AF135" s="56"/>
      <c r="AG135" s="56"/>
      <c r="AH135" s="56"/>
    </row>
    <row r="136" spans="1:34" ht="14.1" customHeight="1" x14ac:dyDescent="0.2">
      <c r="A136" s="297">
        <v>105</v>
      </c>
      <c r="B136" s="282" t="s">
        <v>174</v>
      </c>
      <c r="C136" s="45"/>
      <c r="D136" s="133">
        <f>Produksi!F144</f>
        <v>0</v>
      </c>
      <c r="E136" s="333">
        <f>Stok!L141</f>
        <v>0</v>
      </c>
      <c r="F136" s="134">
        <f>'Impor_Pangan Masuk'!F143</f>
        <v>755.94436559547296</v>
      </c>
      <c r="G136" s="134">
        <f>'Ekspor_Pangan Keluar'!F143</f>
        <v>0</v>
      </c>
      <c r="H136" s="134">
        <f t="shared" si="27"/>
        <v>755.94436559547296</v>
      </c>
      <c r="I136" s="134">
        <f>'Pemakaian Dalam Negeri'!E148</f>
        <v>0</v>
      </c>
      <c r="J136" s="134">
        <f>'Pemakaian Dalam Negeri'!F148</f>
        <v>0</v>
      </c>
      <c r="K136" s="134">
        <f>'Pemakaian Dalam Negeri'!G148</f>
        <v>0</v>
      </c>
      <c r="L136" s="134">
        <f>'Pemakaian Dalam Negeri'!H148</f>
        <v>7.5594436559547296</v>
      </c>
      <c r="M136" s="134">
        <f>'Pemakaian Dalam Negeri'!I148</f>
        <v>0</v>
      </c>
      <c r="N136" s="134">
        <f>'Pemakaian Dalam Negeri'!J148</f>
        <v>748.38492193951822</v>
      </c>
      <c r="O136" s="126">
        <f t="shared" si="16"/>
        <v>3.0164040303078061</v>
      </c>
      <c r="P136" s="126">
        <f t="shared" si="17"/>
        <v>8.2641206309802904</v>
      </c>
      <c r="Q136" s="568">
        <f t="shared" ref="Q136:Q169" si="34">P136/100*T136/100*U136</f>
        <v>5.9766120403249454</v>
      </c>
      <c r="R136" s="177">
        <f t="shared" ref="R136:R169" si="35">P136/100*T136/100*V136</f>
        <v>0.89913632465065541</v>
      </c>
      <c r="S136" s="178">
        <f t="shared" ref="S136:S169" si="36">P136/100*T136/100*W136</f>
        <v>0.21156148815309539</v>
      </c>
      <c r="T136" s="466">
        <v>80</v>
      </c>
      <c r="U136" s="471">
        <v>90.4</v>
      </c>
      <c r="V136" s="381">
        <v>13.6</v>
      </c>
      <c r="W136" s="382">
        <v>3.2</v>
      </c>
      <c r="X136" s="187"/>
      <c r="Y136" s="187"/>
      <c r="Z136" s="187"/>
      <c r="AA136" s="187"/>
      <c r="AB136" s="187"/>
      <c r="AC136" s="364"/>
      <c r="AE136" s="56"/>
      <c r="AF136" s="56"/>
      <c r="AG136" s="56"/>
      <c r="AH136" s="56"/>
    </row>
    <row r="137" spans="1:34" ht="14.1" customHeight="1" x14ac:dyDescent="0.2">
      <c r="A137" s="297">
        <v>106</v>
      </c>
      <c r="B137" s="282" t="s">
        <v>136</v>
      </c>
      <c r="C137" s="45"/>
      <c r="D137" s="133">
        <f>Produksi!F145</f>
        <v>0</v>
      </c>
      <c r="E137" s="333">
        <f>Stok!L142</f>
        <v>0</v>
      </c>
      <c r="F137" s="134">
        <f>'Impor_Pangan Masuk'!F144</f>
        <v>7.6209018170622498</v>
      </c>
      <c r="G137" s="134">
        <f>'Ekspor_Pangan Keluar'!F144</f>
        <v>0</v>
      </c>
      <c r="H137" s="134">
        <f t="shared" si="27"/>
        <v>7.6209018170622498</v>
      </c>
      <c r="I137" s="134">
        <f>'Pemakaian Dalam Negeri'!E149</f>
        <v>0</v>
      </c>
      <c r="J137" s="134">
        <f>'Pemakaian Dalam Negeri'!F149</f>
        <v>0</v>
      </c>
      <c r="K137" s="134">
        <f>'Pemakaian Dalam Negeri'!G149</f>
        <v>0</v>
      </c>
      <c r="L137" s="134">
        <f>'Pemakaian Dalam Negeri'!H149</f>
        <v>7.6209018170622506E-2</v>
      </c>
      <c r="M137" s="134">
        <f>'Pemakaian Dalam Negeri'!I149</f>
        <v>0</v>
      </c>
      <c r="N137" s="134">
        <f>'Pemakaian Dalam Negeri'!J149</f>
        <v>7.544692798891627</v>
      </c>
      <c r="O137" s="126">
        <f t="shared" si="16"/>
        <v>3.0409273488610174E-2</v>
      </c>
      <c r="P137" s="126">
        <f t="shared" si="17"/>
        <v>8.3313078050986783E-2</v>
      </c>
      <c r="Q137" s="122">
        <f t="shared" si="34"/>
        <v>4.9054740356421017E-2</v>
      </c>
      <c r="R137" s="126">
        <f t="shared" si="35"/>
        <v>1.0664073990526308E-2</v>
      </c>
      <c r="S137" s="127">
        <f t="shared" si="36"/>
        <v>3.7324258966842084E-4</v>
      </c>
      <c r="T137" s="466">
        <v>80</v>
      </c>
      <c r="U137" s="471">
        <v>73.599999999999994</v>
      </c>
      <c r="V137" s="381">
        <v>16</v>
      </c>
      <c r="W137" s="382">
        <v>0.56000000000000005</v>
      </c>
      <c r="X137" s="187"/>
      <c r="Y137" s="187"/>
      <c r="Z137" s="187"/>
      <c r="AA137" s="187"/>
      <c r="AB137" s="187"/>
      <c r="AC137" s="364"/>
      <c r="AE137" s="358"/>
      <c r="AF137" s="56">
        <v>92</v>
      </c>
      <c r="AG137" s="56">
        <v>20</v>
      </c>
      <c r="AH137" s="56">
        <v>0.7</v>
      </c>
    </row>
    <row r="138" spans="1:34" ht="14.1" customHeight="1" x14ac:dyDescent="0.2">
      <c r="A138" s="297">
        <v>107</v>
      </c>
      <c r="B138" s="282" t="s">
        <v>137</v>
      </c>
      <c r="C138" s="45"/>
      <c r="D138" s="133">
        <f>Produksi!F146</f>
        <v>0</v>
      </c>
      <c r="E138" s="333">
        <f>Stok!L143</f>
        <v>0</v>
      </c>
      <c r="F138" s="134">
        <f>'Impor_Pangan Masuk'!F145</f>
        <v>0</v>
      </c>
      <c r="G138" s="134">
        <f>'Ekspor_Pangan Keluar'!F145</f>
        <v>0</v>
      </c>
      <c r="H138" s="134">
        <f t="shared" si="27"/>
        <v>0</v>
      </c>
      <c r="I138" s="134">
        <f>'Pemakaian Dalam Negeri'!E150</f>
        <v>0</v>
      </c>
      <c r="J138" s="134">
        <f>'Pemakaian Dalam Negeri'!F150</f>
        <v>0</v>
      </c>
      <c r="K138" s="134">
        <f>'Pemakaian Dalam Negeri'!G150</f>
        <v>0</v>
      </c>
      <c r="L138" s="134">
        <f>'Pemakaian Dalam Negeri'!H150</f>
        <v>0</v>
      </c>
      <c r="M138" s="134">
        <f>'Pemakaian Dalam Negeri'!I150</f>
        <v>0</v>
      </c>
      <c r="N138" s="134">
        <f>'Pemakaian Dalam Negeri'!J150</f>
        <v>0</v>
      </c>
      <c r="O138" s="126">
        <f t="shared" si="16"/>
        <v>0</v>
      </c>
      <c r="P138" s="126">
        <f t="shared" si="17"/>
        <v>0</v>
      </c>
      <c r="Q138" s="122">
        <f t="shared" si="34"/>
        <v>0</v>
      </c>
      <c r="R138" s="126">
        <f t="shared" si="35"/>
        <v>0</v>
      </c>
      <c r="S138" s="127">
        <f t="shared" si="36"/>
        <v>0</v>
      </c>
      <c r="T138" s="466">
        <v>49</v>
      </c>
      <c r="U138" s="471">
        <v>57</v>
      </c>
      <c r="V138" s="381">
        <v>10.7</v>
      </c>
      <c r="W138" s="382">
        <v>0.3</v>
      </c>
      <c r="X138" s="187"/>
      <c r="Y138" s="187"/>
      <c r="Z138" s="187"/>
      <c r="AA138" s="187"/>
      <c r="AB138" s="187"/>
      <c r="AC138" s="364"/>
      <c r="AE138" s="358"/>
      <c r="AF138" s="56">
        <v>57</v>
      </c>
      <c r="AG138" s="56">
        <v>10.7</v>
      </c>
      <c r="AH138" s="56">
        <v>0.3</v>
      </c>
    </row>
    <row r="139" spans="1:34" ht="14.1" customHeight="1" x14ac:dyDescent="0.2">
      <c r="A139" s="297">
        <v>108</v>
      </c>
      <c r="B139" s="282" t="s">
        <v>138</v>
      </c>
      <c r="C139" s="45"/>
      <c r="D139" s="133">
        <f>Produksi!F147</f>
        <v>0</v>
      </c>
      <c r="E139" s="333">
        <f>Stok!L144</f>
        <v>0</v>
      </c>
      <c r="F139" s="134">
        <f>'Impor_Pangan Masuk'!F146</f>
        <v>22</v>
      </c>
      <c r="G139" s="134">
        <f>'Ekspor_Pangan Keluar'!F146</f>
        <v>0</v>
      </c>
      <c r="H139" s="134">
        <f t="shared" si="27"/>
        <v>22</v>
      </c>
      <c r="I139" s="134">
        <f>'Pemakaian Dalam Negeri'!E151</f>
        <v>0</v>
      </c>
      <c r="J139" s="134">
        <f>'Pemakaian Dalam Negeri'!F151</f>
        <v>0</v>
      </c>
      <c r="K139" s="134">
        <f>'Pemakaian Dalam Negeri'!G151</f>
        <v>0</v>
      </c>
      <c r="L139" s="134">
        <f>'Pemakaian Dalam Negeri'!H151</f>
        <v>0.22</v>
      </c>
      <c r="M139" s="134">
        <f>'Pemakaian Dalam Negeri'!I151</f>
        <v>0</v>
      </c>
      <c r="N139" s="134">
        <f>'Pemakaian Dalam Negeri'!J151</f>
        <v>21.78</v>
      </c>
      <c r="O139" s="126">
        <f t="shared" si="16"/>
        <v>8.7785413433828424E-2</v>
      </c>
      <c r="P139" s="126">
        <f t="shared" si="17"/>
        <v>0.24050798201048884</v>
      </c>
      <c r="Q139" s="122">
        <f t="shared" si="34"/>
        <v>0.17508981090363587</v>
      </c>
      <c r="R139" s="126">
        <f t="shared" si="35"/>
        <v>3.6557213265594302E-2</v>
      </c>
      <c r="S139" s="127">
        <f t="shared" si="36"/>
        <v>3.2709085553426481E-3</v>
      </c>
      <c r="T139" s="466">
        <v>80</v>
      </c>
      <c r="U139" s="471">
        <v>91</v>
      </c>
      <c r="V139" s="381">
        <v>19</v>
      </c>
      <c r="W139" s="382">
        <v>1.7</v>
      </c>
      <c r="X139" s="187"/>
      <c r="Y139" s="187"/>
      <c r="Z139" s="187"/>
      <c r="AA139" s="187"/>
      <c r="AB139" s="187"/>
      <c r="AC139" s="364"/>
      <c r="AE139" s="358"/>
      <c r="AF139" s="56">
        <v>91</v>
      </c>
      <c r="AG139" s="56">
        <v>19</v>
      </c>
      <c r="AH139" s="56">
        <v>1.7</v>
      </c>
    </row>
    <row r="140" spans="1:34" ht="14.1" customHeight="1" x14ac:dyDescent="0.2">
      <c r="A140" s="297">
        <v>109</v>
      </c>
      <c r="B140" s="282" t="s">
        <v>139</v>
      </c>
      <c r="C140" s="45"/>
      <c r="D140" s="133">
        <f>Produksi!F148</f>
        <v>0</v>
      </c>
      <c r="E140" s="333">
        <f>Stok!L145</f>
        <v>0</v>
      </c>
      <c r="F140" s="134">
        <f>'Impor_Pangan Masuk'!F147</f>
        <v>2955</v>
      </c>
      <c r="G140" s="134">
        <f>'Ekspor_Pangan Keluar'!F147</f>
        <v>0</v>
      </c>
      <c r="H140" s="134">
        <f t="shared" si="27"/>
        <v>2955</v>
      </c>
      <c r="I140" s="134">
        <f>'Pemakaian Dalam Negeri'!E152</f>
        <v>0</v>
      </c>
      <c r="J140" s="134">
        <f>'Pemakaian Dalam Negeri'!F152</f>
        <v>0</v>
      </c>
      <c r="K140" s="134">
        <f>'Pemakaian Dalam Negeri'!G152</f>
        <v>0</v>
      </c>
      <c r="L140" s="134">
        <f>'Pemakaian Dalam Negeri'!H152</f>
        <v>29.55</v>
      </c>
      <c r="M140" s="134">
        <f>'Pemakaian Dalam Negeri'!I152</f>
        <v>0</v>
      </c>
      <c r="N140" s="134">
        <f>'Pemakaian Dalam Negeri'!J152</f>
        <v>2925.45</v>
      </c>
      <c r="O140" s="126">
        <f t="shared" si="16"/>
        <v>11.791177122589225</v>
      </c>
      <c r="P140" s="126">
        <f t="shared" si="17"/>
        <v>32.304594856408841</v>
      </c>
      <c r="Q140" s="122">
        <f t="shared" si="34"/>
        <v>23.905400193742544</v>
      </c>
      <c r="R140" s="126">
        <f t="shared" si="35"/>
        <v>3.3273732702101109</v>
      </c>
      <c r="S140" s="127">
        <f t="shared" si="36"/>
        <v>0.18090573119588954</v>
      </c>
      <c r="T140" s="466">
        <v>100</v>
      </c>
      <c r="U140" s="471">
        <v>74</v>
      </c>
      <c r="V140" s="381">
        <v>10.3</v>
      </c>
      <c r="W140" s="382">
        <v>0.56000000000000005</v>
      </c>
      <c r="X140" s="187"/>
      <c r="Y140" s="187"/>
      <c r="Z140" s="187"/>
      <c r="AA140" s="187"/>
      <c r="AB140" s="187"/>
      <c r="AC140" s="364"/>
      <c r="AE140" s="56">
        <v>100</v>
      </c>
      <c r="AF140" s="56">
        <v>74</v>
      </c>
      <c r="AG140" s="56">
        <v>10.3</v>
      </c>
      <c r="AH140" s="56">
        <v>1.4</v>
      </c>
    </row>
    <row r="141" spans="1:34" ht="14.1" customHeight="1" x14ac:dyDescent="0.2">
      <c r="A141" s="297">
        <v>110</v>
      </c>
      <c r="B141" s="282" t="s">
        <v>140</v>
      </c>
      <c r="C141" s="45"/>
      <c r="D141" s="133">
        <f>Produksi!F149</f>
        <v>0</v>
      </c>
      <c r="E141" s="333">
        <f>Stok!L146</f>
        <v>0</v>
      </c>
      <c r="F141" s="134">
        <f>'Impor_Pangan Masuk'!F148</f>
        <v>0</v>
      </c>
      <c r="G141" s="134">
        <f>'Ekspor_Pangan Keluar'!F148</f>
        <v>0</v>
      </c>
      <c r="H141" s="134">
        <f t="shared" si="27"/>
        <v>0</v>
      </c>
      <c r="I141" s="134">
        <f>'Pemakaian Dalam Negeri'!E153</f>
        <v>0</v>
      </c>
      <c r="J141" s="134">
        <f>'Pemakaian Dalam Negeri'!F153</f>
        <v>0</v>
      </c>
      <c r="K141" s="134">
        <f>'Pemakaian Dalam Negeri'!G153</f>
        <v>0</v>
      </c>
      <c r="L141" s="134">
        <f>'Pemakaian Dalam Negeri'!H153</f>
        <v>0</v>
      </c>
      <c r="M141" s="134">
        <f>'Pemakaian Dalam Negeri'!I153</f>
        <v>0</v>
      </c>
      <c r="N141" s="134">
        <f>'Pemakaian Dalam Negeri'!J153</f>
        <v>0</v>
      </c>
      <c r="O141" s="126">
        <f t="shared" si="16"/>
        <v>0</v>
      </c>
      <c r="P141" s="126">
        <f t="shared" si="17"/>
        <v>0</v>
      </c>
      <c r="Q141" s="122">
        <f t="shared" si="34"/>
        <v>0</v>
      </c>
      <c r="R141" s="126">
        <f t="shared" si="35"/>
        <v>0</v>
      </c>
      <c r="S141" s="127">
        <f t="shared" si="36"/>
        <v>0</v>
      </c>
      <c r="T141" s="466">
        <v>80</v>
      </c>
      <c r="U141" s="471">
        <v>112</v>
      </c>
      <c r="V141" s="381">
        <v>20</v>
      </c>
      <c r="W141" s="382">
        <v>3</v>
      </c>
      <c r="X141" s="187"/>
      <c r="Y141" s="187"/>
      <c r="Z141" s="187"/>
      <c r="AA141" s="187"/>
      <c r="AB141" s="187"/>
      <c r="AC141" s="364"/>
      <c r="AE141" s="56">
        <v>80</v>
      </c>
      <c r="AF141" s="56">
        <v>112</v>
      </c>
      <c r="AG141" s="56">
        <v>20</v>
      </c>
      <c r="AH141" s="56">
        <v>3</v>
      </c>
    </row>
    <row r="142" spans="1:34" s="163" customFormat="1" x14ac:dyDescent="0.2">
      <c r="A142" s="297">
        <v>111</v>
      </c>
      <c r="B142" s="282" t="s">
        <v>141</v>
      </c>
      <c r="C142" s="45"/>
      <c r="D142" s="133">
        <f>Produksi!F150</f>
        <v>0</v>
      </c>
      <c r="E142" s="333">
        <f>Stok!L147</f>
        <v>0</v>
      </c>
      <c r="F142" s="134">
        <f>'Impor_Pangan Masuk'!F149</f>
        <v>63.029507460292699</v>
      </c>
      <c r="G142" s="134">
        <f>'Ekspor_Pangan Keluar'!F149</f>
        <v>0</v>
      </c>
      <c r="H142" s="134">
        <f t="shared" si="27"/>
        <v>63.029507460292699</v>
      </c>
      <c r="I142" s="134">
        <f>'Pemakaian Dalam Negeri'!E154</f>
        <v>0</v>
      </c>
      <c r="J142" s="134">
        <f>'Pemakaian Dalam Negeri'!F154</f>
        <v>0</v>
      </c>
      <c r="K142" s="134">
        <f>'Pemakaian Dalam Negeri'!G154</f>
        <v>0</v>
      </c>
      <c r="L142" s="134">
        <f>'Pemakaian Dalam Negeri'!H154</f>
        <v>0.630295074602927</v>
      </c>
      <c r="M142" s="134">
        <f>'Pemakaian Dalam Negeri'!I154</f>
        <v>0</v>
      </c>
      <c r="N142" s="134">
        <f>'Pemakaian Dalam Negeri'!J154</f>
        <v>62.399212385689772</v>
      </c>
      <c r="O142" s="126">
        <f t="shared" ref="O142:O185" si="37">(N142+K142)/$Q$4*1000</f>
        <v>0.25150324413328939</v>
      </c>
      <c r="P142" s="126">
        <f t="shared" ref="P142:P184" si="38">O142/365*1000</f>
        <v>0.68904998392682026</v>
      </c>
      <c r="Q142" s="122">
        <f t="shared" si="34"/>
        <v>0.45422174940455989</v>
      </c>
      <c r="R142" s="126">
        <f t="shared" si="35"/>
        <v>9.7018237736896287E-2</v>
      </c>
      <c r="S142" s="127">
        <f t="shared" si="36"/>
        <v>4.4099198971316493E-3</v>
      </c>
      <c r="T142" s="466">
        <v>80</v>
      </c>
      <c r="U142" s="471">
        <v>82.4</v>
      </c>
      <c r="V142" s="381">
        <v>17.600000000000001</v>
      </c>
      <c r="W142" s="382">
        <v>0.8</v>
      </c>
      <c r="X142" s="187"/>
      <c r="Y142" s="187"/>
      <c r="Z142" s="187"/>
      <c r="AA142" s="187"/>
      <c r="AB142" s="187"/>
      <c r="AC142" s="364"/>
      <c r="AE142" s="56">
        <v>80</v>
      </c>
      <c r="AF142" s="56">
        <v>125</v>
      </c>
      <c r="AG142" s="56">
        <v>21.3</v>
      </c>
      <c r="AH142" s="56">
        <v>3.4</v>
      </c>
    </row>
    <row r="143" spans="1:34" s="163" customFormat="1" x14ac:dyDescent="0.2">
      <c r="A143" s="297">
        <v>112</v>
      </c>
      <c r="B143" s="282" t="s">
        <v>142</v>
      </c>
      <c r="C143" s="45"/>
      <c r="D143" s="133">
        <f>Produksi!F151</f>
        <v>0</v>
      </c>
      <c r="E143" s="333">
        <f>Stok!L148</f>
        <v>0</v>
      </c>
      <c r="F143" s="134">
        <f>'Impor_Pangan Masuk'!F150</f>
        <v>6.47630990382926</v>
      </c>
      <c r="G143" s="134">
        <f>'Ekspor_Pangan Keluar'!F150</f>
        <v>0</v>
      </c>
      <c r="H143" s="134">
        <f t="shared" si="27"/>
        <v>6.47630990382926</v>
      </c>
      <c r="I143" s="134">
        <f>'Pemakaian Dalam Negeri'!E155</f>
        <v>0</v>
      </c>
      <c r="J143" s="134">
        <f>'Pemakaian Dalam Negeri'!F155</f>
        <v>0</v>
      </c>
      <c r="K143" s="134">
        <f>'Pemakaian Dalam Negeri'!G155</f>
        <v>0</v>
      </c>
      <c r="L143" s="134">
        <f>'Pemakaian Dalam Negeri'!H155</f>
        <v>6.4763099038292596E-2</v>
      </c>
      <c r="M143" s="134">
        <f>'Pemakaian Dalam Negeri'!I155</f>
        <v>0</v>
      </c>
      <c r="N143" s="134">
        <f>'Pemakaian Dalam Negeri'!J155</f>
        <v>6.4115468047909676</v>
      </c>
      <c r="O143" s="126">
        <f t="shared" si="37"/>
        <v>2.5842070110602234E-2</v>
      </c>
      <c r="P143" s="126">
        <f t="shared" si="38"/>
        <v>7.0800192083841737E-2</v>
      </c>
      <c r="Q143" s="122">
        <f t="shared" si="34"/>
        <v>5.1202698915034352E-2</v>
      </c>
      <c r="R143" s="126">
        <f t="shared" si="35"/>
        <v>7.7030608987219808E-3</v>
      </c>
      <c r="S143" s="127">
        <f t="shared" si="36"/>
        <v>2.0390455320146422E-3</v>
      </c>
      <c r="T143" s="466">
        <v>80</v>
      </c>
      <c r="U143" s="471">
        <v>90.4</v>
      </c>
      <c r="V143" s="381">
        <v>13.6</v>
      </c>
      <c r="W143" s="382">
        <v>3.6</v>
      </c>
      <c r="X143" s="187"/>
      <c r="Y143" s="187"/>
      <c r="Z143" s="187"/>
      <c r="AA143" s="187"/>
      <c r="AB143" s="187"/>
      <c r="AC143" s="364"/>
      <c r="AE143" s="56"/>
      <c r="AF143" s="56"/>
      <c r="AG143" s="56"/>
      <c r="AH143" s="56"/>
    </row>
    <row r="144" spans="1:34" s="163" customFormat="1" x14ac:dyDescent="0.2">
      <c r="A144" s="297">
        <v>113</v>
      </c>
      <c r="B144" s="282" t="s">
        <v>143</v>
      </c>
      <c r="C144" s="45"/>
      <c r="D144" s="133">
        <f>Produksi!F152</f>
        <v>0</v>
      </c>
      <c r="E144" s="333">
        <f>Stok!L149</f>
        <v>0</v>
      </c>
      <c r="F144" s="134">
        <f>'Impor_Pangan Masuk'!F151</f>
        <v>1.14090724695353</v>
      </c>
      <c r="G144" s="134">
        <f>'Ekspor_Pangan Keluar'!F151</f>
        <v>0</v>
      </c>
      <c r="H144" s="134">
        <f t="shared" si="27"/>
        <v>1.14090724695353</v>
      </c>
      <c r="I144" s="134">
        <f>'Pemakaian Dalam Negeri'!E156</f>
        <v>0</v>
      </c>
      <c r="J144" s="134">
        <f>'Pemakaian Dalam Negeri'!F156</f>
        <v>0</v>
      </c>
      <c r="K144" s="134">
        <f>'Pemakaian Dalam Negeri'!G156</f>
        <v>0</v>
      </c>
      <c r="L144" s="134">
        <f>'Pemakaian Dalam Negeri'!H156</f>
        <v>1.1409072469535301E-2</v>
      </c>
      <c r="M144" s="134">
        <f>'Pemakaian Dalam Negeri'!I156</f>
        <v>0</v>
      </c>
      <c r="N144" s="134">
        <f>'Pemakaian Dalam Negeri'!J156</f>
        <v>1.1294981744839947</v>
      </c>
      <c r="O144" s="126">
        <f t="shared" si="37"/>
        <v>4.5525006528848453E-3</v>
      </c>
      <c r="P144" s="126">
        <f t="shared" si="38"/>
        <v>1.247260452845163E-2</v>
      </c>
      <c r="Q144" s="122">
        <f t="shared" si="34"/>
        <v>1.0297382298689666E-2</v>
      </c>
      <c r="R144" s="126">
        <f t="shared" si="35"/>
        <v>1.5964933796418085E-3</v>
      </c>
      <c r="S144" s="127">
        <f t="shared" si="36"/>
        <v>3.8315841111403402E-4</v>
      </c>
      <c r="T144" s="466">
        <v>80</v>
      </c>
      <c r="U144" s="471">
        <v>103.2</v>
      </c>
      <c r="V144" s="381">
        <v>16</v>
      </c>
      <c r="W144" s="382">
        <v>3.84</v>
      </c>
      <c r="X144" s="187"/>
      <c r="Y144" s="187"/>
      <c r="Z144" s="187"/>
      <c r="AA144" s="187"/>
      <c r="AB144" s="187"/>
      <c r="AC144" s="364"/>
      <c r="AE144" s="358"/>
      <c r="AF144" s="56">
        <v>123</v>
      </c>
      <c r="AG144" s="56">
        <v>20</v>
      </c>
      <c r="AH144" s="56">
        <v>4.5999999999999996</v>
      </c>
    </row>
    <row r="145" spans="1:34" s="163" customFormat="1" x14ac:dyDescent="0.2">
      <c r="A145" s="297">
        <v>114</v>
      </c>
      <c r="B145" s="282" t="s">
        <v>144</v>
      </c>
      <c r="C145" s="45"/>
      <c r="D145" s="133">
        <f>Produksi!F153</f>
        <v>0</v>
      </c>
      <c r="E145" s="333">
        <f>Stok!L150</f>
        <v>0</v>
      </c>
      <c r="F145" s="134">
        <f>'Impor_Pangan Masuk'!F152</f>
        <v>0</v>
      </c>
      <c r="G145" s="134">
        <f>'Ekspor_Pangan Keluar'!F152</f>
        <v>0</v>
      </c>
      <c r="H145" s="134">
        <f t="shared" si="27"/>
        <v>0</v>
      </c>
      <c r="I145" s="134">
        <f>'Pemakaian Dalam Negeri'!E157</f>
        <v>0</v>
      </c>
      <c r="J145" s="134">
        <f>'Pemakaian Dalam Negeri'!F157</f>
        <v>0</v>
      </c>
      <c r="K145" s="134">
        <f>'Pemakaian Dalam Negeri'!G157</f>
        <v>0</v>
      </c>
      <c r="L145" s="134">
        <f>'Pemakaian Dalam Negeri'!H157</f>
        <v>0</v>
      </c>
      <c r="M145" s="134">
        <f>'Pemakaian Dalam Negeri'!I157</f>
        <v>0</v>
      </c>
      <c r="N145" s="134">
        <f>'Pemakaian Dalam Negeri'!J157</f>
        <v>0</v>
      </c>
      <c r="O145" s="126">
        <f t="shared" si="37"/>
        <v>0</v>
      </c>
      <c r="P145" s="126">
        <f t="shared" si="38"/>
        <v>0</v>
      </c>
      <c r="Q145" s="122">
        <f t="shared" si="34"/>
        <v>0</v>
      </c>
      <c r="R145" s="126">
        <f t="shared" si="35"/>
        <v>0</v>
      </c>
      <c r="S145" s="127">
        <f t="shared" si="36"/>
        <v>0</v>
      </c>
      <c r="T145" s="466">
        <v>90</v>
      </c>
      <c r="U145" s="471">
        <v>64</v>
      </c>
      <c r="V145" s="381">
        <v>10.8</v>
      </c>
      <c r="W145" s="382">
        <v>2</v>
      </c>
      <c r="X145" s="187"/>
      <c r="Y145" s="187"/>
      <c r="Z145" s="187"/>
      <c r="AA145" s="187"/>
      <c r="AB145" s="187"/>
      <c r="AC145" s="364"/>
      <c r="AE145" s="56"/>
      <c r="AF145" s="56"/>
      <c r="AG145" s="56"/>
      <c r="AH145" s="56"/>
    </row>
    <row r="146" spans="1:34" s="163" customFormat="1" x14ac:dyDescent="0.2">
      <c r="A146" s="297">
        <v>115</v>
      </c>
      <c r="B146" s="282" t="s">
        <v>145</v>
      </c>
      <c r="C146" s="45"/>
      <c r="D146" s="133">
        <f>Produksi!F154</f>
        <v>0</v>
      </c>
      <c r="E146" s="333">
        <f>Stok!L151</f>
        <v>0</v>
      </c>
      <c r="F146" s="134">
        <f>'Impor_Pangan Masuk'!F153</f>
        <v>40.922301395519497</v>
      </c>
      <c r="G146" s="134">
        <f>'Ekspor_Pangan Keluar'!F153</f>
        <v>0</v>
      </c>
      <c r="H146" s="134">
        <f t="shared" si="27"/>
        <v>40.922301395519497</v>
      </c>
      <c r="I146" s="134">
        <f>'Pemakaian Dalam Negeri'!E158</f>
        <v>0</v>
      </c>
      <c r="J146" s="134">
        <f>'Pemakaian Dalam Negeri'!F158</f>
        <v>0</v>
      </c>
      <c r="K146" s="134">
        <f>'Pemakaian Dalam Negeri'!G158</f>
        <v>0</v>
      </c>
      <c r="L146" s="134">
        <f>'Pemakaian Dalam Negeri'!H158</f>
        <v>0.409223013955195</v>
      </c>
      <c r="M146" s="134">
        <f>'Pemakaian Dalam Negeri'!I158</f>
        <v>0</v>
      </c>
      <c r="N146" s="134">
        <f>'Pemakaian Dalam Negeri'!J158</f>
        <v>40.513078381564306</v>
      </c>
      <c r="O146" s="126">
        <f t="shared" si="37"/>
        <v>0.16329005212133696</v>
      </c>
      <c r="P146" s="126">
        <f t="shared" si="38"/>
        <v>0.44737000581188208</v>
      </c>
      <c r="Q146" s="122">
        <f t="shared" si="34"/>
        <v>0.25482195531044805</v>
      </c>
      <c r="R146" s="126">
        <f t="shared" si="35"/>
        <v>5.3541242295566047E-2</v>
      </c>
      <c r="S146" s="127">
        <f t="shared" si="36"/>
        <v>2.8631680371960454E-3</v>
      </c>
      <c r="T146" s="466">
        <v>80</v>
      </c>
      <c r="U146" s="471">
        <v>71.2</v>
      </c>
      <c r="V146" s="381">
        <v>14.96</v>
      </c>
      <c r="W146" s="382">
        <v>0.8</v>
      </c>
      <c r="X146" s="187"/>
      <c r="Y146" s="187"/>
      <c r="Z146" s="187"/>
      <c r="AA146" s="187"/>
      <c r="AB146" s="187"/>
      <c r="AC146" s="364"/>
      <c r="AE146" s="56">
        <v>80</v>
      </c>
      <c r="AF146" s="56">
        <v>89</v>
      </c>
      <c r="AG146" s="56">
        <v>18.7</v>
      </c>
      <c r="AH146" s="56">
        <v>1</v>
      </c>
    </row>
    <row r="147" spans="1:34" ht="14.1" customHeight="1" x14ac:dyDescent="0.2">
      <c r="A147" s="297">
        <v>116</v>
      </c>
      <c r="B147" s="282" t="s">
        <v>146</v>
      </c>
      <c r="C147" s="45"/>
      <c r="D147" s="133">
        <f>Produksi!F155</f>
        <v>3017.43</v>
      </c>
      <c r="E147" s="333">
        <f>Stok!L152</f>
        <v>0</v>
      </c>
      <c r="F147" s="134">
        <f>'Impor_Pangan Masuk'!F154</f>
        <v>178</v>
      </c>
      <c r="G147" s="134">
        <f>'Ekspor_Pangan Keluar'!F154</f>
        <v>0</v>
      </c>
      <c r="H147" s="134">
        <f t="shared" si="27"/>
        <v>3195.43</v>
      </c>
      <c r="I147" s="134">
        <f>'Pemakaian Dalam Negeri'!E159</f>
        <v>0</v>
      </c>
      <c r="J147" s="134">
        <f>'Pemakaian Dalam Negeri'!F159</f>
        <v>0</v>
      </c>
      <c r="K147" s="134">
        <f>'Pemakaian Dalam Negeri'!G159</f>
        <v>0</v>
      </c>
      <c r="L147" s="134">
        <f>'Pemakaian Dalam Negeri'!H159</f>
        <v>31.9543</v>
      </c>
      <c r="M147" s="134">
        <f>'Pemakaian Dalam Negeri'!I159</f>
        <v>0</v>
      </c>
      <c r="N147" s="134">
        <f>'Pemakaian Dalam Negeri'!J159</f>
        <v>3163.4757</v>
      </c>
      <c r="O147" s="126">
        <f t="shared" si="37"/>
        <v>12.750551984039015</v>
      </c>
      <c r="P147" s="126">
        <f t="shared" si="38"/>
        <v>34.933019134353465</v>
      </c>
      <c r="Q147" s="122">
        <f t="shared" si="34"/>
        <v>19.227133731548147</v>
      </c>
      <c r="R147" s="126">
        <f t="shared" si="35"/>
        <v>3.5771411593577955</v>
      </c>
      <c r="S147" s="127">
        <f t="shared" si="36"/>
        <v>0.44714264491972444</v>
      </c>
      <c r="T147" s="466">
        <v>80</v>
      </c>
      <c r="U147" s="471">
        <v>68.8</v>
      </c>
      <c r="V147" s="381">
        <v>12.8</v>
      </c>
      <c r="W147" s="382">
        <v>1.6</v>
      </c>
      <c r="X147" s="187"/>
      <c r="Y147" s="187"/>
      <c r="Z147" s="187"/>
      <c r="AA147" s="187"/>
      <c r="AB147" s="187"/>
      <c r="AC147" s="364"/>
      <c r="AE147" s="56">
        <v>80</v>
      </c>
      <c r="AF147" s="56">
        <v>86</v>
      </c>
      <c r="AG147" s="56">
        <v>16</v>
      </c>
      <c r="AH147" s="56">
        <v>2</v>
      </c>
    </row>
    <row r="148" spans="1:34" ht="14.1" customHeight="1" x14ac:dyDescent="0.2">
      <c r="A148" s="297">
        <v>117</v>
      </c>
      <c r="B148" s="282" t="s">
        <v>147</v>
      </c>
      <c r="C148" s="45"/>
      <c r="D148" s="133">
        <f>Produksi!F156</f>
        <v>9288.51</v>
      </c>
      <c r="E148" s="333">
        <f>Stok!L153</f>
        <v>0</v>
      </c>
      <c r="F148" s="134">
        <f>'Impor_Pangan Masuk'!F155</f>
        <v>858.85</v>
      </c>
      <c r="G148" s="134">
        <f>'Ekspor_Pangan Keluar'!F155</f>
        <v>0</v>
      </c>
      <c r="H148" s="134">
        <f t="shared" si="27"/>
        <v>10147.36</v>
      </c>
      <c r="I148" s="134">
        <f>'Pemakaian Dalam Negeri'!E160</f>
        <v>0</v>
      </c>
      <c r="J148" s="134">
        <f>'Pemakaian Dalam Negeri'!F160</f>
        <v>0</v>
      </c>
      <c r="K148" s="134">
        <f>'Pemakaian Dalam Negeri'!G160</f>
        <v>0</v>
      </c>
      <c r="L148" s="134">
        <f>'Pemakaian Dalam Negeri'!H160</f>
        <v>101.4736</v>
      </c>
      <c r="M148" s="134">
        <f>'Pemakaian Dalam Negeri'!I160</f>
        <v>0</v>
      </c>
      <c r="N148" s="134">
        <f>'Pemakaian Dalam Negeri'!J160</f>
        <v>10045.886400000001</v>
      </c>
      <c r="O148" s="126">
        <f t="shared" si="37"/>
        <v>40.490463311904236</v>
      </c>
      <c r="P148" s="126">
        <f t="shared" si="38"/>
        <v>110.93277619699791</v>
      </c>
      <c r="Q148" s="122">
        <f t="shared" si="34"/>
        <v>74.54682560438259</v>
      </c>
      <c r="R148" s="126">
        <f t="shared" si="35"/>
        <v>13.134440701724552</v>
      </c>
      <c r="S148" s="127">
        <f t="shared" si="36"/>
        <v>2.0411630820247613</v>
      </c>
      <c r="T148" s="466">
        <v>80</v>
      </c>
      <c r="U148" s="476">
        <v>84</v>
      </c>
      <c r="V148" s="390">
        <v>14.8</v>
      </c>
      <c r="W148" s="391">
        <v>2.2999999999999998</v>
      </c>
      <c r="X148" s="187"/>
      <c r="Y148" s="187"/>
      <c r="Z148" s="187"/>
      <c r="AA148" s="187"/>
      <c r="AB148" s="187"/>
      <c r="AC148" s="364"/>
      <c r="AE148" s="358"/>
      <c r="AF148" s="358"/>
      <c r="AG148" s="358"/>
      <c r="AH148" s="358"/>
    </row>
    <row r="149" spans="1:34" s="65" customFormat="1" ht="14.1" customHeight="1" x14ac:dyDescent="0.2">
      <c r="A149" s="297">
        <v>118</v>
      </c>
      <c r="B149" s="282" t="s">
        <v>148</v>
      </c>
      <c r="C149" s="45"/>
      <c r="D149" s="133">
        <f>Produksi!F157</f>
        <v>617.46</v>
      </c>
      <c r="E149" s="333">
        <f>Stok!L154</f>
        <v>0</v>
      </c>
      <c r="F149" s="134">
        <f>'Impor_Pangan Masuk'!F156</f>
        <v>954.65</v>
      </c>
      <c r="G149" s="134">
        <f>'Ekspor_Pangan Keluar'!F156</f>
        <v>0</v>
      </c>
      <c r="H149" s="134">
        <f t="shared" si="27"/>
        <v>1572.1100000000001</v>
      </c>
      <c r="I149" s="134">
        <f>'Pemakaian Dalam Negeri'!E161</f>
        <v>0</v>
      </c>
      <c r="J149" s="134">
        <f>'Pemakaian Dalam Negeri'!F161</f>
        <v>0</v>
      </c>
      <c r="K149" s="134">
        <f>'Pemakaian Dalam Negeri'!G161</f>
        <v>0</v>
      </c>
      <c r="L149" s="134">
        <f>'Pemakaian Dalam Negeri'!H161</f>
        <v>15.721100000000002</v>
      </c>
      <c r="M149" s="134">
        <f>'Pemakaian Dalam Negeri'!I161</f>
        <v>0</v>
      </c>
      <c r="N149" s="134">
        <f>'Pemakaian Dalam Negeri'!J161</f>
        <v>1556.3889000000001</v>
      </c>
      <c r="O149" s="126">
        <f t="shared" si="37"/>
        <v>6.2731057415207276</v>
      </c>
      <c r="P149" s="126">
        <f t="shared" si="38"/>
        <v>17.186591072659528</v>
      </c>
      <c r="Q149" s="122">
        <f t="shared" si="34"/>
        <v>12.37434557231486</v>
      </c>
      <c r="R149" s="126">
        <f t="shared" si="35"/>
        <v>2.5711140244698654</v>
      </c>
      <c r="S149" s="127">
        <f t="shared" si="36"/>
        <v>0.15124200143940386</v>
      </c>
      <c r="T149" s="466">
        <v>80</v>
      </c>
      <c r="U149" s="476">
        <v>90</v>
      </c>
      <c r="V149" s="390">
        <v>18.7</v>
      </c>
      <c r="W149" s="391">
        <v>1.1000000000000001</v>
      </c>
      <c r="X149" s="187"/>
      <c r="Y149" s="187"/>
      <c r="Z149" s="187"/>
      <c r="AA149" s="187"/>
      <c r="AB149" s="187"/>
      <c r="AC149" s="364"/>
      <c r="AE149" s="358"/>
      <c r="AF149" s="56">
        <v>132</v>
      </c>
      <c r="AG149" s="56">
        <v>17</v>
      </c>
      <c r="AH149" s="56">
        <v>6.6</v>
      </c>
    </row>
    <row r="150" spans="1:34" ht="14.1" customHeight="1" x14ac:dyDescent="0.2">
      <c r="A150" s="297">
        <v>119</v>
      </c>
      <c r="B150" s="282" t="s">
        <v>149</v>
      </c>
      <c r="C150" s="45"/>
      <c r="D150" s="133">
        <f>Produksi!F158</f>
        <v>10233.75</v>
      </c>
      <c r="E150" s="333">
        <f>Stok!L155</f>
        <v>0</v>
      </c>
      <c r="F150" s="134">
        <f>'Impor_Pangan Masuk'!F157</f>
        <v>808.75</v>
      </c>
      <c r="G150" s="134">
        <f>'Ekspor_Pangan Keluar'!F157</f>
        <v>0</v>
      </c>
      <c r="H150" s="134">
        <f t="shared" si="27"/>
        <v>11042.5</v>
      </c>
      <c r="I150" s="134">
        <f>'Pemakaian Dalam Negeri'!E162</f>
        <v>0</v>
      </c>
      <c r="J150" s="134">
        <f>'Pemakaian Dalam Negeri'!F162</f>
        <v>0</v>
      </c>
      <c r="K150" s="134">
        <f>'Pemakaian Dalam Negeri'!G162</f>
        <v>0</v>
      </c>
      <c r="L150" s="134">
        <f>'Pemakaian Dalam Negeri'!H162</f>
        <v>110.425</v>
      </c>
      <c r="M150" s="134">
        <f>'Pemakaian Dalam Negeri'!I162</f>
        <v>0</v>
      </c>
      <c r="N150" s="134">
        <f>'Pemakaian Dalam Negeri'!J162</f>
        <v>10932.075000000001</v>
      </c>
      <c r="O150" s="126">
        <f t="shared" si="37"/>
        <v>44.06229217468411</v>
      </c>
      <c r="P150" s="126">
        <f t="shared" si="38"/>
        <v>120.71860869776468</v>
      </c>
      <c r="Q150" s="122">
        <f t="shared" si="34"/>
        <v>79.19140730573362</v>
      </c>
      <c r="R150" s="126">
        <f t="shared" si="35"/>
        <v>15.500269356792984</v>
      </c>
      <c r="S150" s="127">
        <f t="shared" si="36"/>
        <v>1.2941034852400373</v>
      </c>
      <c r="T150" s="466">
        <v>80</v>
      </c>
      <c r="U150" s="476">
        <v>82</v>
      </c>
      <c r="V150" s="390">
        <v>16.05</v>
      </c>
      <c r="W150" s="391">
        <v>1.34</v>
      </c>
      <c r="X150" s="187"/>
      <c r="Y150" s="187"/>
      <c r="Z150" s="187"/>
      <c r="AA150" s="187"/>
      <c r="AB150" s="187"/>
      <c r="AC150" s="364"/>
      <c r="AE150" s="358"/>
      <c r="AF150" s="358"/>
      <c r="AG150" s="358"/>
      <c r="AH150" s="358"/>
    </row>
    <row r="151" spans="1:34" ht="14.1" customHeight="1" x14ac:dyDescent="0.2">
      <c r="A151" s="297">
        <v>120</v>
      </c>
      <c r="B151" s="282" t="s">
        <v>150</v>
      </c>
      <c r="C151" s="45"/>
      <c r="D151" s="133">
        <f>Produksi!F159</f>
        <v>0</v>
      </c>
      <c r="E151" s="333">
        <f>Stok!L156</f>
        <v>0</v>
      </c>
      <c r="F151" s="134">
        <f>'Impor_Pangan Masuk'!F158</f>
        <v>0</v>
      </c>
      <c r="G151" s="134">
        <f>'Ekspor_Pangan Keluar'!F158</f>
        <v>0</v>
      </c>
      <c r="H151" s="134">
        <f t="shared" si="27"/>
        <v>0</v>
      </c>
      <c r="I151" s="134">
        <f>'Pemakaian Dalam Negeri'!E163</f>
        <v>0</v>
      </c>
      <c r="J151" s="134">
        <f>'Pemakaian Dalam Negeri'!F163</f>
        <v>0</v>
      </c>
      <c r="K151" s="134">
        <f>'Pemakaian Dalam Negeri'!G163</f>
        <v>0</v>
      </c>
      <c r="L151" s="134">
        <f>'Pemakaian Dalam Negeri'!H163</f>
        <v>0</v>
      </c>
      <c r="M151" s="134">
        <f>'Pemakaian Dalam Negeri'!I163</f>
        <v>0</v>
      </c>
      <c r="N151" s="134">
        <f>'Pemakaian Dalam Negeri'!J163</f>
        <v>0</v>
      </c>
      <c r="O151" s="126">
        <f t="shared" si="37"/>
        <v>0</v>
      </c>
      <c r="P151" s="126">
        <f t="shared" si="38"/>
        <v>0</v>
      </c>
      <c r="Q151" s="122">
        <f t="shared" si="34"/>
        <v>0</v>
      </c>
      <c r="R151" s="126">
        <f t="shared" si="35"/>
        <v>0</v>
      </c>
      <c r="S151" s="127">
        <f t="shared" si="36"/>
        <v>0</v>
      </c>
      <c r="T151" s="466">
        <v>80</v>
      </c>
      <c r="U151" s="476">
        <v>82.13</v>
      </c>
      <c r="V151" s="390">
        <v>16.97</v>
      </c>
      <c r="W151" s="391">
        <v>0.47</v>
      </c>
      <c r="X151" s="187"/>
      <c r="Y151" s="187"/>
      <c r="Z151" s="187"/>
      <c r="AA151" s="187"/>
      <c r="AB151" s="187"/>
      <c r="AC151" s="364"/>
      <c r="AE151" s="358"/>
      <c r="AF151" s="358"/>
      <c r="AG151" s="358"/>
      <c r="AH151" s="358"/>
    </row>
    <row r="152" spans="1:34" ht="14.1" customHeight="1" x14ac:dyDescent="0.2">
      <c r="A152" s="297">
        <v>121</v>
      </c>
      <c r="B152" s="282" t="s">
        <v>151</v>
      </c>
      <c r="C152" s="45"/>
      <c r="D152" s="133">
        <f>Produksi!F160</f>
        <v>600.47</v>
      </c>
      <c r="E152" s="333">
        <f>Stok!L157</f>
        <v>0</v>
      </c>
      <c r="F152" s="134">
        <f>'Impor_Pangan Masuk'!F159</f>
        <v>239.55</v>
      </c>
      <c r="G152" s="134">
        <f>'Ekspor_Pangan Keluar'!F159</f>
        <v>0</v>
      </c>
      <c r="H152" s="134">
        <f t="shared" si="27"/>
        <v>840.02</v>
      </c>
      <c r="I152" s="134">
        <f>'Pemakaian Dalam Negeri'!E164</f>
        <v>0</v>
      </c>
      <c r="J152" s="134">
        <f>'Pemakaian Dalam Negeri'!F164</f>
        <v>0</v>
      </c>
      <c r="K152" s="134">
        <f>'Pemakaian Dalam Negeri'!G164</f>
        <v>0</v>
      </c>
      <c r="L152" s="134">
        <f>'Pemakaian Dalam Negeri'!H164</f>
        <v>8.4001999999999999</v>
      </c>
      <c r="M152" s="134">
        <f>'Pemakaian Dalam Negeri'!I164</f>
        <v>0</v>
      </c>
      <c r="N152" s="134">
        <f>'Pemakaian Dalam Negeri'!J164</f>
        <v>831.61979999999994</v>
      </c>
      <c r="O152" s="126">
        <f t="shared" si="37"/>
        <v>3.3518864996674793</v>
      </c>
      <c r="P152" s="126">
        <f t="shared" si="38"/>
        <v>9.1832506840204911</v>
      </c>
      <c r="Q152" s="122">
        <f t="shared" si="34"/>
        <v>5.6186800985110983</v>
      </c>
      <c r="R152" s="126">
        <f t="shared" si="35"/>
        <v>1.5185423331096286</v>
      </c>
      <c r="S152" s="127">
        <f t="shared" si="36"/>
        <v>0.20497015526733739</v>
      </c>
      <c r="T152" s="466">
        <v>80</v>
      </c>
      <c r="U152" s="476">
        <v>76.48</v>
      </c>
      <c r="V152" s="390">
        <v>20.67</v>
      </c>
      <c r="W152" s="391">
        <v>2.79</v>
      </c>
      <c r="X152" s="187"/>
      <c r="Y152" s="187"/>
      <c r="Z152" s="187"/>
      <c r="AA152" s="187"/>
      <c r="AB152" s="187"/>
      <c r="AC152" s="364"/>
      <c r="AE152" s="358"/>
      <c r="AF152" s="358"/>
      <c r="AG152" s="358"/>
      <c r="AH152" s="358"/>
    </row>
    <row r="153" spans="1:34" ht="14.1" customHeight="1" x14ac:dyDescent="0.2">
      <c r="A153" s="297">
        <v>122</v>
      </c>
      <c r="B153" s="282" t="s">
        <v>152</v>
      </c>
      <c r="C153" s="45"/>
      <c r="D153" s="133">
        <f>Produksi!F161</f>
        <v>0</v>
      </c>
      <c r="E153" s="333">
        <f>Stok!L158</f>
        <v>0</v>
      </c>
      <c r="F153" s="134">
        <f>'Impor_Pangan Masuk'!F160</f>
        <v>137</v>
      </c>
      <c r="G153" s="134">
        <f>'Ekspor_Pangan Keluar'!F160</f>
        <v>0</v>
      </c>
      <c r="H153" s="134">
        <f t="shared" si="27"/>
        <v>137</v>
      </c>
      <c r="I153" s="134">
        <f>'Pemakaian Dalam Negeri'!E165</f>
        <v>0</v>
      </c>
      <c r="J153" s="134">
        <f>'Pemakaian Dalam Negeri'!F165</f>
        <v>0</v>
      </c>
      <c r="K153" s="134">
        <f>'Pemakaian Dalam Negeri'!G165</f>
        <v>0</v>
      </c>
      <c r="L153" s="134">
        <f>'Pemakaian Dalam Negeri'!H165</f>
        <v>0.68500000000000005</v>
      </c>
      <c r="M153" s="134">
        <f>'Pemakaian Dalam Negeri'!I165</f>
        <v>0</v>
      </c>
      <c r="N153" s="134">
        <f>'Pemakaian Dalam Negeri'!J165</f>
        <v>136.315</v>
      </c>
      <c r="O153" s="126">
        <f t="shared" si="37"/>
        <v>0.54942463876181458</v>
      </c>
      <c r="P153" s="126">
        <f t="shared" si="38"/>
        <v>1.505272982909081</v>
      </c>
      <c r="Q153" s="122">
        <f t="shared" si="34"/>
        <v>0.63339478684041473</v>
      </c>
      <c r="R153" s="126">
        <f t="shared" si="35"/>
        <v>0.14616802773240337</v>
      </c>
      <c r="S153" s="127">
        <f t="shared" si="36"/>
        <v>1.4330198797294451E-3</v>
      </c>
      <c r="T153" s="466">
        <v>68</v>
      </c>
      <c r="U153" s="471">
        <v>61.88</v>
      </c>
      <c r="V153" s="381">
        <v>14.28</v>
      </c>
      <c r="W153" s="382">
        <v>0.14000000000000001</v>
      </c>
      <c r="X153" s="187"/>
      <c r="Y153" s="187"/>
      <c r="Z153" s="187"/>
      <c r="AA153" s="187"/>
      <c r="AB153" s="187"/>
      <c r="AC153" s="364"/>
      <c r="AE153" s="56">
        <v>68</v>
      </c>
      <c r="AF153" s="56">
        <v>91</v>
      </c>
      <c r="AG153" s="56">
        <v>21</v>
      </c>
      <c r="AH153" s="56">
        <v>0.2</v>
      </c>
    </row>
    <row r="154" spans="1:34" ht="14.1" customHeight="1" x14ac:dyDescent="0.2">
      <c r="A154" s="297">
        <v>123</v>
      </c>
      <c r="B154" s="282" t="s">
        <v>153</v>
      </c>
      <c r="C154" s="45"/>
      <c r="D154" s="133">
        <f>Produksi!F162</f>
        <v>0</v>
      </c>
      <c r="E154" s="333">
        <f>Stok!L159</f>
        <v>0</v>
      </c>
      <c r="F154" s="134">
        <f>'Impor_Pangan Masuk'!F161</f>
        <v>0</v>
      </c>
      <c r="G154" s="134">
        <f>'Ekspor_Pangan Keluar'!F161</f>
        <v>0</v>
      </c>
      <c r="H154" s="134">
        <f t="shared" si="27"/>
        <v>0</v>
      </c>
      <c r="I154" s="134">
        <f>'Pemakaian Dalam Negeri'!E166</f>
        <v>0</v>
      </c>
      <c r="J154" s="134">
        <f>'Pemakaian Dalam Negeri'!F166</f>
        <v>0</v>
      </c>
      <c r="K154" s="134">
        <f>'Pemakaian Dalam Negeri'!G166</f>
        <v>0</v>
      </c>
      <c r="L154" s="134">
        <f>'Pemakaian Dalam Negeri'!H166</f>
        <v>0</v>
      </c>
      <c r="M154" s="134">
        <f>'Pemakaian Dalam Negeri'!I166</f>
        <v>0</v>
      </c>
      <c r="N154" s="134">
        <f>'Pemakaian Dalam Negeri'!J166</f>
        <v>0</v>
      </c>
      <c r="O154" s="126">
        <f t="shared" si="37"/>
        <v>0</v>
      </c>
      <c r="P154" s="126">
        <f t="shared" si="38"/>
        <v>0</v>
      </c>
      <c r="Q154" s="122">
        <f t="shared" si="34"/>
        <v>0</v>
      </c>
      <c r="R154" s="126">
        <f t="shared" si="35"/>
        <v>0</v>
      </c>
      <c r="S154" s="127">
        <f t="shared" si="36"/>
        <v>0</v>
      </c>
      <c r="T154" s="466">
        <v>45</v>
      </c>
      <c r="U154" s="471">
        <v>67.95</v>
      </c>
      <c r="V154" s="381">
        <v>6.21</v>
      </c>
      <c r="W154" s="382">
        <v>1.71</v>
      </c>
      <c r="X154" s="187"/>
      <c r="Y154" s="187"/>
      <c r="Z154" s="187"/>
      <c r="AA154" s="187"/>
      <c r="AB154" s="187"/>
      <c r="AC154" s="364"/>
      <c r="AE154" s="56"/>
      <c r="AF154" s="56"/>
      <c r="AG154" s="56"/>
      <c r="AH154" s="56"/>
    </row>
    <row r="155" spans="1:34" ht="14.1" customHeight="1" x14ac:dyDescent="0.2">
      <c r="A155" s="297">
        <v>124</v>
      </c>
      <c r="B155" s="282" t="s">
        <v>154</v>
      </c>
      <c r="C155" s="45"/>
      <c r="D155" s="133">
        <f>Produksi!F163</f>
        <v>0</v>
      </c>
      <c r="E155" s="333">
        <f>Stok!L160</f>
        <v>0</v>
      </c>
      <c r="F155" s="134">
        <f>'Impor_Pangan Masuk'!F162</f>
        <v>5.75101721917334</v>
      </c>
      <c r="G155" s="134">
        <f>'Ekspor_Pangan Keluar'!F162</f>
        <v>0</v>
      </c>
      <c r="H155" s="134">
        <f t="shared" si="27"/>
        <v>5.75101721917334</v>
      </c>
      <c r="I155" s="134">
        <f>'Pemakaian Dalam Negeri'!E167</f>
        <v>0</v>
      </c>
      <c r="J155" s="134">
        <f>'Pemakaian Dalam Negeri'!F167</f>
        <v>0</v>
      </c>
      <c r="K155" s="134">
        <f>'Pemakaian Dalam Negeri'!G167</f>
        <v>0</v>
      </c>
      <c r="L155" s="134">
        <f>'Pemakaian Dalam Negeri'!H167</f>
        <v>5.7510172191733398E-2</v>
      </c>
      <c r="M155" s="134">
        <f>'Pemakaian Dalam Negeri'!I167</f>
        <v>0</v>
      </c>
      <c r="N155" s="134">
        <f>'Pemakaian Dalam Negeri'!J167</f>
        <v>5.6935070469816065</v>
      </c>
      <c r="O155" s="126">
        <f t="shared" si="37"/>
        <v>2.2947973829554449E-2</v>
      </c>
      <c r="P155" s="126">
        <f t="shared" si="38"/>
        <v>6.2871161176861506E-2</v>
      </c>
      <c r="Q155" s="122">
        <f t="shared" si="34"/>
        <v>1.2699974557726024E-2</v>
      </c>
      <c r="R155" s="126">
        <f t="shared" si="35"/>
        <v>1.8106894418936114E-3</v>
      </c>
      <c r="S155" s="127">
        <f t="shared" si="36"/>
        <v>3.2693003811967985E-4</v>
      </c>
      <c r="T155" s="466">
        <v>20</v>
      </c>
      <c r="U155" s="471">
        <v>101</v>
      </c>
      <c r="V155" s="381">
        <v>14.4</v>
      </c>
      <c r="W155" s="382">
        <v>2.6</v>
      </c>
      <c r="X155" s="187"/>
      <c r="Y155" s="187"/>
      <c r="Z155" s="187"/>
      <c r="AA155" s="187"/>
      <c r="AB155" s="187"/>
      <c r="AC155" s="364"/>
      <c r="AE155" s="56"/>
      <c r="AF155" s="56"/>
      <c r="AG155" s="56"/>
      <c r="AH155" s="56"/>
    </row>
    <row r="156" spans="1:34" ht="14.1" customHeight="1" x14ac:dyDescent="0.2">
      <c r="A156" s="297">
        <v>125</v>
      </c>
      <c r="B156" s="282" t="s">
        <v>155</v>
      </c>
      <c r="C156" s="45"/>
      <c r="D156" s="133">
        <f>Produksi!F164</f>
        <v>0</v>
      </c>
      <c r="E156" s="333">
        <f>Stok!L161</f>
        <v>0</v>
      </c>
      <c r="F156" s="134">
        <f>'Impor_Pangan Masuk'!F163</f>
        <v>36.886230322514997</v>
      </c>
      <c r="G156" s="134">
        <f>'Ekspor_Pangan Keluar'!F163</f>
        <v>0</v>
      </c>
      <c r="H156" s="134">
        <f t="shared" si="27"/>
        <v>36.886230322514997</v>
      </c>
      <c r="I156" s="134">
        <f>'Pemakaian Dalam Negeri'!E168</f>
        <v>0</v>
      </c>
      <c r="J156" s="134">
        <f>'Pemakaian Dalam Negeri'!F168</f>
        <v>0</v>
      </c>
      <c r="K156" s="134">
        <f>'Pemakaian Dalam Negeri'!G168</f>
        <v>0</v>
      </c>
      <c r="L156" s="134">
        <f>'Pemakaian Dalam Negeri'!H168</f>
        <v>0.36886230322514996</v>
      </c>
      <c r="M156" s="134">
        <f>'Pemakaian Dalam Negeri'!I168</f>
        <v>0</v>
      </c>
      <c r="N156" s="134">
        <f>'Pemakaian Dalam Negeri'!J168</f>
        <v>36.517368019289847</v>
      </c>
      <c r="O156" s="126">
        <f t="shared" si="37"/>
        <v>0.14718513540351805</v>
      </c>
      <c r="P156" s="126">
        <f t="shared" si="38"/>
        <v>0.40324694631100833</v>
      </c>
      <c r="Q156" s="122">
        <f t="shared" si="34"/>
        <v>0.30243520973325627</v>
      </c>
      <c r="R156" s="126">
        <f t="shared" si="35"/>
        <v>6.4922758356072349E-2</v>
      </c>
      <c r="S156" s="127">
        <f t="shared" si="36"/>
        <v>2.8227286241770582E-3</v>
      </c>
      <c r="T156" s="466">
        <v>100</v>
      </c>
      <c r="U156" s="471">
        <v>75</v>
      </c>
      <c r="V156" s="381">
        <v>16.100000000000001</v>
      </c>
      <c r="W156" s="382">
        <v>0.7</v>
      </c>
      <c r="X156" s="187"/>
      <c r="Y156" s="187"/>
      <c r="Z156" s="187"/>
      <c r="AA156" s="187"/>
      <c r="AB156" s="187"/>
      <c r="AC156" s="364"/>
      <c r="AE156" s="358"/>
      <c r="AF156" s="359">
        <v>75</v>
      </c>
      <c r="AG156" s="359">
        <v>16.100000000000001</v>
      </c>
      <c r="AH156" s="359">
        <v>0.7</v>
      </c>
    </row>
    <row r="157" spans="1:34" ht="14.1" customHeight="1" x14ac:dyDescent="0.2">
      <c r="A157" s="297">
        <v>126</v>
      </c>
      <c r="B157" s="282" t="s">
        <v>156</v>
      </c>
      <c r="C157" s="45"/>
      <c r="D157" s="133">
        <f>Produksi!F165</f>
        <v>0</v>
      </c>
      <c r="E157" s="333">
        <f>Stok!L162</f>
        <v>0</v>
      </c>
      <c r="F157" s="134">
        <f>'Impor_Pangan Masuk'!F164</f>
        <v>0</v>
      </c>
      <c r="G157" s="134">
        <f>'Ekspor_Pangan Keluar'!F164</f>
        <v>0</v>
      </c>
      <c r="H157" s="134">
        <f t="shared" si="27"/>
        <v>0</v>
      </c>
      <c r="I157" s="134">
        <f>'Pemakaian Dalam Negeri'!E169</f>
        <v>0</v>
      </c>
      <c r="J157" s="134">
        <f>'Pemakaian Dalam Negeri'!F169</f>
        <v>0</v>
      </c>
      <c r="K157" s="134">
        <f>'Pemakaian Dalam Negeri'!G169</f>
        <v>0</v>
      </c>
      <c r="L157" s="134">
        <f>'Pemakaian Dalam Negeri'!H169</f>
        <v>0</v>
      </c>
      <c r="M157" s="134">
        <f>'Pemakaian Dalam Negeri'!I169</f>
        <v>0</v>
      </c>
      <c r="N157" s="134">
        <f>'Pemakaian Dalam Negeri'!J169</f>
        <v>0</v>
      </c>
      <c r="O157" s="126">
        <f t="shared" si="37"/>
        <v>0</v>
      </c>
      <c r="P157" s="126">
        <f t="shared" si="38"/>
        <v>0</v>
      </c>
      <c r="Q157" s="122">
        <f t="shared" si="34"/>
        <v>0</v>
      </c>
      <c r="R157" s="126">
        <f t="shared" si="35"/>
        <v>0</v>
      </c>
      <c r="S157" s="127">
        <f t="shared" si="36"/>
        <v>0</v>
      </c>
      <c r="T157" s="466">
        <v>100</v>
      </c>
      <c r="U157" s="471">
        <v>41</v>
      </c>
      <c r="V157" s="381">
        <v>1.4</v>
      </c>
      <c r="W157" s="382">
        <v>0.3</v>
      </c>
      <c r="X157" s="187"/>
      <c r="Y157" s="187"/>
      <c r="Z157" s="187"/>
      <c r="AA157" s="187"/>
      <c r="AB157" s="187"/>
      <c r="AC157" s="364"/>
      <c r="AE157" s="56">
        <v>100</v>
      </c>
      <c r="AF157" s="56">
        <v>41</v>
      </c>
      <c r="AG157" s="56">
        <v>1.4</v>
      </c>
      <c r="AH157" s="56">
        <v>0.3</v>
      </c>
    </row>
    <row r="158" spans="1:34" ht="14.1" customHeight="1" x14ac:dyDescent="0.2">
      <c r="A158" s="297">
        <v>127</v>
      </c>
      <c r="B158" s="282" t="s">
        <v>28</v>
      </c>
      <c r="C158" s="45"/>
      <c r="D158" s="133">
        <f>Produksi!F166</f>
        <v>0</v>
      </c>
      <c r="E158" s="333">
        <f>Stok!L163</f>
        <v>0</v>
      </c>
      <c r="F158" s="134">
        <f>'Impor_Pangan Masuk'!F165</f>
        <v>0</v>
      </c>
      <c r="G158" s="134">
        <f>'Ekspor_Pangan Keluar'!F165</f>
        <v>0</v>
      </c>
      <c r="H158" s="134">
        <f t="shared" si="27"/>
        <v>0</v>
      </c>
      <c r="I158" s="134">
        <f>'Pemakaian Dalam Negeri'!E170</f>
        <v>0</v>
      </c>
      <c r="J158" s="134">
        <f>'Pemakaian Dalam Negeri'!F170</f>
        <v>0</v>
      </c>
      <c r="K158" s="134">
        <f>'Pemakaian Dalam Negeri'!G170</f>
        <v>0</v>
      </c>
      <c r="L158" s="134">
        <f>'Pemakaian Dalam Negeri'!H170</f>
        <v>0</v>
      </c>
      <c r="M158" s="134">
        <f>'Pemakaian Dalam Negeri'!I170</f>
        <v>0</v>
      </c>
      <c r="N158" s="134">
        <f>'Pemakaian Dalam Negeri'!J170</f>
        <v>0</v>
      </c>
      <c r="O158" s="126">
        <f t="shared" si="37"/>
        <v>0</v>
      </c>
      <c r="P158" s="126">
        <f t="shared" si="38"/>
        <v>0</v>
      </c>
      <c r="Q158" s="122">
        <f t="shared" si="34"/>
        <v>0</v>
      </c>
      <c r="R158" s="126">
        <f t="shared" si="35"/>
        <v>0</v>
      </c>
      <c r="S158" s="127">
        <f t="shared" si="36"/>
        <v>0</v>
      </c>
      <c r="T158" s="466">
        <v>100</v>
      </c>
      <c r="U158" s="471">
        <v>80</v>
      </c>
      <c r="V158" s="381">
        <v>18.100000000000001</v>
      </c>
      <c r="W158" s="382">
        <v>0.9</v>
      </c>
      <c r="X158" s="187"/>
      <c r="Y158" s="187"/>
      <c r="Z158" s="187"/>
      <c r="AA158" s="187"/>
      <c r="AB158" s="187"/>
      <c r="AC158" s="364"/>
      <c r="AE158" s="358"/>
      <c r="AF158" s="358"/>
      <c r="AG158" s="358"/>
      <c r="AH158" s="358"/>
    </row>
    <row r="159" spans="1:34" ht="14.1" customHeight="1" x14ac:dyDescent="0.2">
      <c r="A159" s="297">
        <v>128</v>
      </c>
      <c r="B159" s="282" t="s">
        <v>29</v>
      </c>
      <c r="C159" s="45"/>
      <c r="D159" s="133">
        <f>Produksi!F167</f>
        <v>0</v>
      </c>
      <c r="E159" s="333">
        <f>Stok!L164</f>
        <v>0</v>
      </c>
      <c r="F159" s="134">
        <f>'Impor_Pangan Masuk'!F166</f>
        <v>12</v>
      </c>
      <c r="G159" s="134">
        <f>'Ekspor_Pangan Keluar'!F166</f>
        <v>0</v>
      </c>
      <c r="H159" s="134">
        <f t="shared" si="27"/>
        <v>12</v>
      </c>
      <c r="I159" s="134">
        <f>'Pemakaian Dalam Negeri'!E171</f>
        <v>0</v>
      </c>
      <c r="J159" s="134">
        <f>'Pemakaian Dalam Negeri'!F171</f>
        <v>0</v>
      </c>
      <c r="K159" s="134">
        <f>'Pemakaian Dalam Negeri'!G171</f>
        <v>0</v>
      </c>
      <c r="L159" s="134">
        <f>'Pemakaian Dalam Negeri'!H171</f>
        <v>0.12</v>
      </c>
      <c r="M159" s="134">
        <f>'Pemakaian Dalam Negeri'!I171</f>
        <v>0</v>
      </c>
      <c r="N159" s="134">
        <f>'Pemakaian Dalam Negeri'!J171</f>
        <v>11.88</v>
      </c>
      <c r="O159" s="126">
        <f t="shared" si="37"/>
        <v>4.7882952782088234E-2</v>
      </c>
      <c r="P159" s="126">
        <f t="shared" si="38"/>
        <v>0.13118617200572116</v>
      </c>
      <c r="Q159" s="122">
        <f t="shared" si="34"/>
        <v>0.10232521416446251</v>
      </c>
      <c r="R159" s="126">
        <f t="shared" si="35"/>
        <v>1.9021994940829567E-2</v>
      </c>
      <c r="S159" s="127">
        <f t="shared" si="36"/>
        <v>7.8711703203432695E-4</v>
      </c>
      <c r="T159" s="466">
        <v>100</v>
      </c>
      <c r="U159" s="471">
        <v>78</v>
      </c>
      <c r="V159" s="381">
        <v>14.5</v>
      </c>
      <c r="W159" s="382">
        <v>0.6</v>
      </c>
      <c r="X159" s="187"/>
      <c r="Y159" s="187"/>
      <c r="Z159" s="187"/>
      <c r="AA159" s="187"/>
      <c r="AB159" s="187"/>
      <c r="AC159" s="364"/>
      <c r="AE159" s="358"/>
      <c r="AF159" s="56">
        <v>78</v>
      </c>
      <c r="AG159" s="56">
        <v>14.5</v>
      </c>
      <c r="AH159" s="56">
        <v>0.6</v>
      </c>
    </row>
    <row r="160" spans="1:34" ht="14.1" customHeight="1" x14ac:dyDescent="0.2">
      <c r="A160" s="297">
        <v>129</v>
      </c>
      <c r="B160" s="282" t="s">
        <v>30</v>
      </c>
      <c r="C160" s="45"/>
      <c r="D160" s="133">
        <f>Produksi!F168</f>
        <v>0</v>
      </c>
      <c r="E160" s="333">
        <f>Stok!L165</f>
        <v>0</v>
      </c>
      <c r="F160" s="134">
        <f>'Impor_Pangan Masuk'!F167</f>
        <v>61.8886957985045</v>
      </c>
      <c r="G160" s="134">
        <f>'Ekspor_Pangan Keluar'!F167</f>
        <v>0</v>
      </c>
      <c r="H160" s="134">
        <f t="shared" si="27"/>
        <v>61.8886957985045</v>
      </c>
      <c r="I160" s="134">
        <f>'Pemakaian Dalam Negeri'!E172</f>
        <v>0</v>
      </c>
      <c r="J160" s="134">
        <f>'Pemakaian Dalam Negeri'!F172</f>
        <v>0</v>
      </c>
      <c r="K160" s="134">
        <f>'Pemakaian Dalam Negeri'!G172</f>
        <v>0</v>
      </c>
      <c r="L160" s="134">
        <f>'Pemakaian Dalam Negeri'!H172</f>
        <v>0.61888695798504501</v>
      </c>
      <c r="M160" s="134">
        <f>'Pemakaian Dalam Negeri'!I172</f>
        <v>0</v>
      </c>
      <c r="N160" s="134">
        <f>'Pemakaian Dalam Negeri'!J172</f>
        <v>61.269808840519453</v>
      </c>
      <c r="O160" s="126">
        <f t="shared" si="37"/>
        <v>0.24695112488873441</v>
      </c>
      <c r="P160" s="126">
        <f t="shared" si="38"/>
        <v>0.67657842435269699</v>
      </c>
      <c r="Q160" s="122">
        <f t="shared" si="34"/>
        <v>0.73070469830091278</v>
      </c>
      <c r="R160" s="126">
        <f t="shared" si="35"/>
        <v>0.15087698863065144</v>
      </c>
      <c r="S160" s="127">
        <f t="shared" si="36"/>
        <v>8.1189410922323634E-3</v>
      </c>
      <c r="T160" s="466">
        <v>100</v>
      </c>
      <c r="U160" s="471">
        <v>108</v>
      </c>
      <c r="V160" s="381">
        <v>22.3</v>
      </c>
      <c r="W160" s="382">
        <v>1.2</v>
      </c>
      <c r="X160" s="187"/>
      <c r="Y160" s="187"/>
      <c r="Z160" s="187"/>
      <c r="AA160" s="187"/>
      <c r="AB160" s="187"/>
      <c r="AC160" s="364"/>
      <c r="AE160" s="358"/>
      <c r="AF160" s="56">
        <v>108</v>
      </c>
      <c r="AG160" s="56">
        <v>22.3</v>
      </c>
      <c r="AH160" s="56">
        <v>1.2</v>
      </c>
    </row>
    <row r="161" spans="1:34" ht="14.1" customHeight="1" x14ac:dyDescent="0.2">
      <c r="A161" s="297">
        <v>130</v>
      </c>
      <c r="B161" s="282" t="s">
        <v>31</v>
      </c>
      <c r="C161" s="45"/>
      <c r="D161" s="133">
        <f>Produksi!F169</f>
        <v>0</v>
      </c>
      <c r="E161" s="333">
        <f>Stok!L166</f>
        <v>0</v>
      </c>
      <c r="F161" s="134">
        <f>'Impor_Pangan Masuk'!F168</f>
        <v>68</v>
      </c>
      <c r="G161" s="134">
        <f>'Ekspor_Pangan Keluar'!F168</f>
        <v>0</v>
      </c>
      <c r="H161" s="134">
        <f t="shared" si="27"/>
        <v>68</v>
      </c>
      <c r="I161" s="134">
        <f>'Pemakaian Dalam Negeri'!E173</f>
        <v>0</v>
      </c>
      <c r="J161" s="134">
        <f>'Pemakaian Dalam Negeri'!F173</f>
        <v>0</v>
      </c>
      <c r="K161" s="134">
        <f>'Pemakaian Dalam Negeri'!G173</f>
        <v>0</v>
      </c>
      <c r="L161" s="134">
        <f>'Pemakaian Dalam Negeri'!H173</f>
        <v>0.68</v>
      </c>
      <c r="M161" s="134">
        <f>'Pemakaian Dalam Negeri'!I173</f>
        <v>0</v>
      </c>
      <c r="N161" s="134">
        <f>'Pemakaian Dalam Negeri'!J173</f>
        <v>67.319999999999993</v>
      </c>
      <c r="O161" s="126">
        <f t="shared" si="37"/>
        <v>0.27133673243183326</v>
      </c>
      <c r="P161" s="126">
        <f t="shared" si="38"/>
        <v>0.74338830803241984</v>
      </c>
      <c r="Q161" s="122">
        <f t="shared" si="34"/>
        <v>0.74338830803241984</v>
      </c>
      <c r="R161" s="126">
        <f t="shared" si="35"/>
        <v>0.13975700191009494</v>
      </c>
      <c r="S161" s="127">
        <f t="shared" si="36"/>
        <v>1.6354542776713239E-2</v>
      </c>
      <c r="T161" s="466">
        <v>100</v>
      </c>
      <c r="U161" s="471">
        <v>100</v>
      </c>
      <c r="V161" s="381">
        <v>18.8</v>
      </c>
      <c r="W161" s="382">
        <v>2.2000000000000002</v>
      </c>
      <c r="X161" s="187"/>
      <c r="Y161" s="187"/>
      <c r="Z161" s="187"/>
      <c r="AA161" s="187"/>
      <c r="AB161" s="187"/>
      <c r="AC161" s="364"/>
      <c r="AE161" s="56">
        <v>48</v>
      </c>
      <c r="AF161" s="56">
        <v>100</v>
      </c>
      <c r="AG161" s="56">
        <v>18.8</v>
      </c>
      <c r="AH161" s="56">
        <v>2.2000000000000002</v>
      </c>
    </row>
    <row r="162" spans="1:34" ht="14.1" customHeight="1" x14ac:dyDescent="0.2">
      <c r="A162" s="297">
        <v>131</v>
      </c>
      <c r="B162" s="282" t="s">
        <v>32</v>
      </c>
      <c r="C162" s="45"/>
      <c r="D162" s="133">
        <f>Produksi!F170</f>
        <v>0</v>
      </c>
      <c r="E162" s="333">
        <f>Stok!L167</f>
        <v>0</v>
      </c>
      <c r="F162" s="134">
        <f>'Impor_Pangan Masuk'!F169</f>
        <v>86.943115777277299</v>
      </c>
      <c r="G162" s="134">
        <f>'Ekspor_Pangan Keluar'!F169</f>
        <v>0</v>
      </c>
      <c r="H162" s="134">
        <f t="shared" si="27"/>
        <v>86.943115777277299</v>
      </c>
      <c r="I162" s="134">
        <f>'Pemakaian Dalam Negeri'!E174</f>
        <v>0</v>
      </c>
      <c r="J162" s="134">
        <f>'Pemakaian Dalam Negeri'!F174</f>
        <v>0</v>
      </c>
      <c r="K162" s="134">
        <f>'Pemakaian Dalam Negeri'!G174</f>
        <v>0</v>
      </c>
      <c r="L162" s="134">
        <f>'Pemakaian Dalam Negeri'!H174</f>
        <v>0.86943115777277302</v>
      </c>
      <c r="M162" s="134">
        <f>'Pemakaian Dalam Negeri'!I174</f>
        <v>0</v>
      </c>
      <c r="N162" s="134">
        <f>'Pemakaian Dalam Negeri'!J174</f>
        <v>86.073684619504533</v>
      </c>
      <c r="O162" s="126">
        <f t="shared" si="37"/>
        <v>0.34692442562424997</v>
      </c>
      <c r="P162" s="126">
        <f t="shared" si="38"/>
        <v>0.95047787842260267</v>
      </c>
      <c r="Q162" s="122">
        <f t="shared" si="34"/>
        <v>0.76038230273808205</v>
      </c>
      <c r="R162" s="126">
        <f t="shared" si="35"/>
        <v>0.15397741630446163</v>
      </c>
      <c r="S162" s="127">
        <f t="shared" si="36"/>
        <v>4.7523893921130132E-3</v>
      </c>
      <c r="T162" s="466">
        <v>100</v>
      </c>
      <c r="U162" s="471">
        <v>80</v>
      </c>
      <c r="V162" s="381">
        <v>16.2</v>
      </c>
      <c r="W162" s="382">
        <v>0.5</v>
      </c>
      <c r="X162" s="187"/>
      <c r="Y162" s="187"/>
      <c r="Z162" s="187"/>
      <c r="AA162" s="187"/>
      <c r="AB162" s="187"/>
      <c r="AC162" s="364"/>
      <c r="AE162" s="358"/>
      <c r="AF162" s="56">
        <v>80</v>
      </c>
      <c r="AG162" s="56">
        <v>16.2</v>
      </c>
      <c r="AH162" s="56">
        <v>0.5</v>
      </c>
    </row>
    <row r="163" spans="1:34" ht="14.1" customHeight="1" x14ac:dyDescent="0.2">
      <c r="A163" s="297">
        <v>132</v>
      </c>
      <c r="B163" s="282" t="s">
        <v>33</v>
      </c>
      <c r="C163" s="45"/>
      <c r="D163" s="133">
        <f>Produksi!F171</f>
        <v>103.33</v>
      </c>
      <c r="E163" s="333">
        <f>Stok!L168</f>
        <v>0</v>
      </c>
      <c r="F163" s="134">
        <f>'Impor_Pangan Masuk'!F170</f>
        <v>0</v>
      </c>
      <c r="G163" s="134">
        <f>'Ekspor_Pangan Keluar'!F170</f>
        <v>0</v>
      </c>
      <c r="H163" s="134">
        <f t="shared" si="27"/>
        <v>103.33</v>
      </c>
      <c r="I163" s="134">
        <f>'Pemakaian Dalam Negeri'!E175</f>
        <v>0</v>
      </c>
      <c r="J163" s="134">
        <f>'Pemakaian Dalam Negeri'!F175</f>
        <v>0</v>
      </c>
      <c r="K163" s="134">
        <f>'Pemakaian Dalam Negeri'!G175</f>
        <v>0</v>
      </c>
      <c r="L163" s="134">
        <f>'Pemakaian Dalam Negeri'!H175</f>
        <v>1.0333000000000001</v>
      </c>
      <c r="M163" s="134">
        <f>'Pemakaian Dalam Negeri'!I175</f>
        <v>0</v>
      </c>
      <c r="N163" s="134">
        <f>'Pemakaian Dalam Negeri'!J175</f>
        <v>102.2967</v>
      </c>
      <c r="O163" s="126">
        <f t="shared" si="37"/>
        <v>0.41231212591443139</v>
      </c>
      <c r="P163" s="126">
        <f t="shared" si="38"/>
        <v>1.129622262779264</v>
      </c>
      <c r="Q163" s="122">
        <f t="shared" si="34"/>
        <v>1.005363813873545</v>
      </c>
      <c r="R163" s="126">
        <f t="shared" si="35"/>
        <v>0.21123936313972239</v>
      </c>
      <c r="S163" s="127">
        <f t="shared" si="36"/>
        <v>1.1296222627792641E-2</v>
      </c>
      <c r="T163" s="466">
        <v>100</v>
      </c>
      <c r="U163" s="471">
        <v>89</v>
      </c>
      <c r="V163" s="381">
        <v>18.7</v>
      </c>
      <c r="W163" s="382">
        <v>1</v>
      </c>
      <c r="X163" s="187"/>
      <c r="Y163" s="187"/>
      <c r="Z163" s="187"/>
      <c r="AA163" s="187"/>
      <c r="AB163" s="187"/>
      <c r="AC163" s="364"/>
      <c r="AE163" s="358"/>
      <c r="AF163" s="358"/>
      <c r="AG163" s="358"/>
      <c r="AH163" s="358"/>
    </row>
    <row r="164" spans="1:34" ht="14.1" customHeight="1" x14ac:dyDescent="0.2">
      <c r="A164" s="297">
        <v>133</v>
      </c>
      <c r="B164" s="282" t="s">
        <v>34</v>
      </c>
      <c r="C164" s="45"/>
      <c r="D164" s="133">
        <f>Produksi!F172</f>
        <v>0</v>
      </c>
      <c r="E164" s="333">
        <f>Stok!L169</f>
        <v>0</v>
      </c>
      <c r="F164" s="134">
        <f>'Impor_Pangan Masuk'!F171</f>
        <v>0</v>
      </c>
      <c r="G164" s="134">
        <f>'Ekspor_Pangan Keluar'!F171</f>
        <v>0</v>
      </c>
      <c r="H164" s="134">
        <f t="shared" si="27"/>
        <v>0</v>
      </c>
      <c r="I164" s="134">
        <f>'Pemakaian Dalam Negeri'!E176</f>
        <v>0</v>
      </c>
      <c r="J164" s="134">
        <f>'Pemakaian Dalam Negeri'!F176</f>
        <v>0</v>
      </c>
      <c r="K164" s="134">
        <f>'Pemakaian Dalam Negeri'!G176</f>
        <v>0</v>
      </c>
      <c r="L164" s="134">
        <f>'Pemakaian Dalam Negeri'!H176</f>
        <v>0</v>
      </c>
      <c r="M164" s="134">
        <f>'Pemakaian Dalam Negeri'!I176</f>
        <v>0</v>
      </c>
      <c r="N164" s="134">
        <f>'Pemakaian Dalam Negeri'!J176</f>
        <v>0</v>
      </c>
      <c r="O164" s="126">
        <f t="shared" si="37"/>
        <v>0</v>
      </c>
      <c r="P164" s="126">
        <f t="shared" si="38"/>
        <v>0</v>
      </c>
      <c r="Q164" s="122">
        <f t="shared" si="34"/>
        <v>0</v>
      </c>
      <c r="R164" s="126">
        <f t="shared" si="35"/>
        <v>0</v>
      </c>
      <c r="S164" s="127">
        <f t="shared" si="36"/>
        <v>0</v>
      </c>
      <c r="T164" s="468">
        <v>89</v>
      </c>
      <c r="U164" s="473">
        <v>97</v>
      </c>
      <c r="V164" s="351">
        <v>17.899999999999999</v>
      </c>
      <c r="W164" s="386">
        <v>2</v>
      </c>
      <c r="X164" s="163"/>
      <c r="Y164" s="163"/>
      <c r="Z164" s="163"/>
      <c r="AA164" s="163"/>
      <c r="AB164" s="163"/>
      <c r="AC164" s="367"/>
      <c r="AE164" s="358"/>
      <c r="AF164" s="358"/>
      <c r="AG164" s="358"/>
      <c r="AH164" s="358"/>
    </row>
    <row r="165" spans="1:34" ht="14.1" customHeight="1" x14ac:dyDescent="0.2">
      <c r="A165" s="297">
        <v>134</v>
      </c>
      <c r="B165" s="282" t="s">
        <v>35</v>
      </c>
      <c r="C165" s="45"/>
      <c r="D165" s="133">
        <f>Produksi!F173</f>
        <v>0</v>
      </c>
      <c r="E165" s="333">
        <f>Stok!L170</f>
        <v>0</v>
      </c>
      <c r="F165" s="134">
        <f>'Impor_Pangan Masuk'!F172</f>
        <v>0</v>
      </c>
      <c r="G165" s="134">
        <f>'Ekspor_Pangan Keluar'!F172</f>
        <v>0</v>
      </c>
      <c r="H165" s="134">
        <f t="shared" ref="H165:H185" si="39">D165-E165+F165-G165</f>
        <v>0</v>
      </c>
      <c r="I165" s="134">
        <f>'Pemakaian Dalam Negeri'!E177</f>
        <v>0</v>
      </c>
      <c r="J165" s="134">
        <f>'Pemakaian Dalam Negeri'!F177</f>
        <v>0</v>
      </c>
      <c r="K165" s="134">
        <f>'Pemakaian Dalam Negeri'!G177</f>
        <v>0</v>
      </c>
      <c r="L165" s="134">
        <f>'Pemakaian Dalam Negeri'!H177</f>
        <v>0</v>
      </c>
      <c r="M165" s="134">
        <f>'Pemakaian Dalam Negeri'!I177</f>
        <v>0</v>
      </c>
      <c r="N165" s="134">
        <f>'Pemakaian Dalam Negeri'!J177</f>
        <v>0</v>
      </c>
      <c r="O165" s="126">
        <f t="shared" si="37"/>
        <v>0</v>
      </c>
      <c r="P165" s="126">
        <f t="shared" si="38"/>
        <v>0</v>
      </c>
      <c r="Q165" s="122">
        <f t="shared" si="34"/>
        <v>0</v>
      </c>
      <c r="R165" s="126">
        <f t="shared" si="35"/>
        <v>0</v>
      </c>
      <c r="S165" s="127">
        <f t="shared" si="36"/>
        <v>0</v>
      </c>
      <c r="T165" s="468">
        <v>49</v>
      </c>
      <c r="U165" s="473">
        <v>82</v>
      </c>
      <c r="V165" s="351">
        <v>18</v>
      </c>
      <c r="W165" s="386">
        <v>1</v>
      </c>
      <c r="X165" s="163"/>
      <c r="Y165" s="163"/>
      <c r="Z165" s="163"/>
      <c r="AA165" s="163"/>
      <c r="AB165" s="163"/>
      <c r="AC165" s="367"/>
      <c r="AE165" s="56">
        <v>49</v>
      </c>
      <c r="AF165" s="56">
        <v>82</v>
      </c>
      <c r="AG165" s="56">
        <v>18</v>
      </c>
      <c r="AH165" s="56">
        <v>1</v>
      </c>
    </row>
    <row r="166" spans="1:34" ht="14.1" customHeight="1" x14ac:dyDescent="0.2">
      <c r="A166" s="297">
        <v>135</v>
      </c>
      <c r="B166" s="282" t="s">
        <v>36</v>
      </c>
      <c r="C166" s="45"/>
      <c r="D166" s="133">
        <f>Produksi!F174</f>
        <v>0</v>
      </c>
      <c r="E166" s="333">
        <f>Stok!L171</f>
        <v>0</v>
      </c>
      <c r="F166" s="134">
        <f>'Impor_Pangan Masuk'!F173</f>
        <v>0</v>
      </c>
      <c r="G166" s="134">
        <f>'Ekspor_Pangan Keluar'!F173</f>
        <v>0</v>
      </c>
      <c r="H166" s="134">
        <f t="shared" si="39"/>
        <v>0</v>
      </c>
      <c r="I166" s="134">
        <f>'Pemakaian Dalam Negeri'!E178</f>
        <v>0</v>
      </c>
      <c r="J166" s="134">
        <f>'Pemakaian Dalam Negeri'!F178</f>
        <v>0</v>
      </c>
      <c r="K166" s="134">
        <f>'Pemakaian Dalam Negeri'!G178</f>
        <v>0</v>
      </c>
      <c r="L166" s="134">
        <f>'Pemakaian Dalam Negeri'!H178</f>
        <v>0</v>
      </c>
      <c r="M166" s="134">
        <f>'Pemakaian Dalam Negeri'!I178</f>
        <v>0</v>
      </c>
      <c r="N166" s="134">
        <f>'Pemakaian Dalam Negeri'!J178</f>
        <v>0</v>
      </c>
      <c r="O166" s="126">
        <f t="shared" si="37"/>
        <v>0</v>
      </c>
      <c r="P166" s="126">
        <f t="shared" si="38"/>
        <v>0</v>
      </c>
      <c r="Q166" s="122">
        <f t="shared" si="34"/>
        <v>0</v>
      </c>
      <c r="R166" s="126">
        <f t="shared" si="35"/>
        <v>0</v>
      </c>
      <c r="S166" s="127">
        <f t="shared" si="36"/>
        <v>0</v>
      </c>
      <c r="T166" s="468">
        <v>60</v>
      </c>
      <c r="U166" s="473">
        <v>84</v>
      </c>
      <c r="V166" s="351">
        <v>19.100000000000001</v>
      </c>
      <c r="W166" s="386">
        <v>0.3</v>
      </c>
      <c r="X166" s="163"/>
      <c r="Y166" s="163"/>
      <c r="Z166" s="163"/>
      <c r="AA166" s="163"/>
      <c r="AB166" s="163"/>
      <c r="AC166" s="367"/>
      <c r="AE166" s="358"/>
      <c r="AF166" s="358"/>
      <c r="AG166" s="358"/>
      <c r="AH166" s="358"/>
    </row>
    <row r="167" spans="1:34" ht="14.1" customHeight="1" x14ac:dyDescent="0.2">
      <c r="A167" s="297">
        <v>136</v>
      </c>
      <c r="B167" s="282" t="s">
        <v>37</v>
      </c>
      <c r="C167" s="45"/>
      <c r="D167" s="133">
        <f>Produksi!F175</f>
        <v>0</v>
      </c>
      <c r="E167" s="333">
        <f>Stok!L172</f>
        <v>0</v>
      </c>
      <c r="F167" s="134">
        <f>'Impor_Pangan Masuk'!F174</f>
        <v>0</v>
      </c>
      <c r="G167" s="134">
        <f>'Ekspor_Pangan Keluar'!F174</f>
        <v>0</v>
      </c>
      <c r="H167" s="134">
        <f t="shared" si="39"/>
        <v>0</v>
      </c>
      <c r="I167" s="134">
        <f>'Pemakaian Dalam Negeri'!E179</f>
        <v>0</v>
      </c>
      <c r="J167" s="134">
        <f>'Pemakaian Dalam Negeri'!F179</f>
        <v>0</v>
      </c>
      <c r="K167" s="134">
        <f>'Pemakaian Dalam Negeri'!G179</f>
        <v>0</v>
      </c>
      <c r="L167" s="134">
        <f>'Pemakaian Dalam Negeri'!H179</f>
        <v>0</v>
      </c>
      <c r="M167" s="134">
        <f>'Pemakaian Dalam Negeri'!I179</f>
        <v>0</v>
      </c>
      <c r="N167" s="134">
        <f>'Pemakaian Dalam Negeri'!J179</f>
        <v>0</v>
      </c>
      <c r="O167" s="126">
        <f t="shared" si="37"/>
        <v>0</v>
      </c>
      <c r="P167" s="126">
        <f t="shared" si="38"/>
        <v>0</v>
      </c>
      <c r="Q167" s="122">
        <f t="shared" si="34"/>
        <v>0</v>
      </c>
      <c r="R167" s="126">
        <f t="shared" si="35"/>
        <v>0</v>
      </c>
      <c r="S167" s="127">
        <f t="shared" si="36"/>
        <v>0</v>
      </c>
      <c r="T167" s="468">
        <v>81.5</v>
      </c>
      <c r="U167" s="473">
        <v>70</v>
      </c>
      <c r="V167" s="351">
        <v>14.6</v>
      </c>
      <c r="W167" s="386">
        <v>0.8</v>
      </c>
      <c r="X167" s="163"/>
      <c r="Y167" s="163"/>
      <c r="Z167" s="163"/>
      <c r="AA167" s="163"/>
      <c r="AB167" s="163"/>
      <c r="AC167" s="367"/>
      <c r="AE167" s="358"/>
      <c r="AF167" s="56">
        <v>70</v>
      </c>
      <c r="AG167" s="56">
        <v>14.6</v>
      </c>
      <c r="AH167" s="56">
        <v>0.8</v>
      </c>
    </row>
    <row r="168" spans="1:34" ht="14.1" customHeight="1" x14ac:dyDescent="0.2">
      <c r="A168" s="297">
        <v>137</v>
      </c>
      <c r="B168" s="282" t="s">
        <v>38</v>
      </c>
      <c r="C168" s="45"/>
      <c r="D168" s="133">
        <f>Produksi!F176</f>
        <v>0</v>
      </c>
      <c r="E168" s="333">
        <f>Stok!L173</f>
        <v>0</v>
      </c>
      <c r="F168" s="134">
        <f>'Impor_Pangan Masuk'!F175</f>
        <v>0</v>
      </c>
      <c r="G168" s="134">
        <f>'Ekspor_Pangan Keluar'!F175</f>
        <v>0</v>
      </c>
      <c r="H168" s="134">
        <f t="shared" si="39"/>
        <v>0</v>
      </c>
      <c r="I168" s="134">
        <f>'Pemakaian Dalam Negeri'!E180</f>
        <v>0</v>
      </c>
      <c r="J168" s="134">
        <f>'Pemakaian Dalam Negeri'!F180</f>
        <v>0</v>
      </c>
      <c r="K168" s="134">
        <f>'Pemakaian Dalam Negeri'!G180</f>
        <v>0</v>
      </c>
      <c r="L168" s="134">
        <f>'Pemakaian Dalam Negeri'!H180</f>
        <v>0</v>
      </c>
      <c r="M168" s="134">
        <f>'Pemakaian Dalam Negeri'!I180</f>
        <v>0</v>
      </c>
      <c r="N168" s="134">
        <f>'Pemakaian Dalam Negeri'!J180</f>
        <v>0</v>
      </c>
      <c r="O168" s="126">
        <f t="shared" si="37"/>
        <v>0</v>
      </c>
      <c r="P168" s="126">
        <f t="shared" si="38"/>
        <v>0</v>
      </c>
      <c r="Q168" s="122">
        <f t="shared" si="34"/>
        <v>0</v>
      </c>
      <c r="R168" s="126">
        <f t="shared" si="35"/>
        <v>0</v>
      </c>
      <c r="S168" s="127">
        <f t="shared" si="36"/>
        <v>0</v>
      </c>
      <c r="T168" s="468">
        <v>75</v>
      </c>
      <c r="U168" s="473">
        <v>84</v>
      </c>
      <c r="V168" s="351">
        <v>15.2</v>
      </c>
      <c r="W168" s="386">
        <v>0.6</v>
      </c>
      <c r="X168" s="163"/>
      <c r="Y168" s="163"/>
      <c r="Z168" s="163"/>
      <c r="AA168" s="163"/>
      <c r="AB168" s="163"/>
      <c r="AC168" s="367"/>
      <c r="AE168" s="56">
        <v>75</v>
      </c>
      <c r="AF168" s="56">
        <v>84</v>
      </c>
      <c r="AG168" s="56">
        <v>15.2</v>
      </c>
      <c r="AH168" s="56">
        <v>0.6</v>
      </c>
    </row>
    <row r="169" spans="1:34" ht="14.1" customHeight="1" x14ac:dyDescent="0.2">
      <c r="A169" s="297">
        <v>138</v>
      </c>
      <c r="B169" s="282" t="s">
        <v>157</v>
      </c>
      <c r="C169" s="45"/>
      <c r="D169" s="133">
        <f>Produksi!F177</f>
        <v>1800.55</v>
      </c>
      <c r="E169" s="333">
        <f>Stok!L174</f>
        <v>0</v>
      </c>
      <c r="F169" s="134">
        <f>'Impor_Pangan Masuk'!F176</f>
        <v>317.52416505506199</v>
      </c>
      <c r="G169" s="134">
        <f>'Ekspor_Pangan Keluar'!F176</f>
        <v>0</v>
      </c>
      <c r="H169" s="134">
        <f t="shared" si="39"/>
        <v>2118.0741650550617</v>
      </c>
      <c r="I169" s="134">
        <f>'Pemakaian Dalam Negeri'!E181</f>
        <v>0</v>
      </c>
      <c r="J169" s="134">
        <f>'Pemakaian Dalam Negeri'!F181</f>
        <v>0</v>
      </c>
      <c r="K169" s="134">
        <f>'Pemakaian Dalam Negeri'!G181</f>
        <v>0</v>
      </c>
      <c r="L169" s="134">
        <f>'Pemakaian Dalam Negeri'!H181</f>
        <v>10.590370825275309</v>
      </c>
      <c r="M169" s="134">
        <f>'Pemakaian Dalam Negeri'!I181</f>
        <v>0</v>
      </c>
      <c r="N169" s="134">
        <f>'Pemakaian Dalam Negeri'!J181</f>
        <v>2107.4837942297863</v>
      </c>
      <c r="O169" s="126">
        <f t="shared" si="37"/>
        <v>8.4943221387307233</v>
      </c>
      <c r="P169" s="126">
        <f t="shared" si="38"/>
        <v>23.272115448577324</v>
      </c>
      <c r="Q169" s="122">
        <f t="shared" si="34"/>
        <v>9.6381466130282991</v>
      </c>
      <c r="R169" s="126">
        <f t="shared" si="35"/>
        <v>1.895513803286623</v>
      </c>
      <c r="S169" s="127">
        <f t="shared" si="36"/>
        <v>0.14486891866739385</v>
      </c>
      <c r="T169" s="466">
        <v>75</v>
      </c>
      <c r="U169" s="471">
        <v>55.22</v>
      </c>
      <c r="V169" s="381">
        <v>10.86</v>
      </c>
      <c r="W169" s="382">
        <v>0.83</v>
      </c>
      <c r="X169" s="187"/>
      <c r="Y169" s="187"/>
      <c r="Z169" s="187"/>
      <c r="AA169" s="187"/>
      <c r="AB169" s="187"/>
      <c r="AC169" s="364"/>
      <c r="AE169" s="56"/>
      <c r="AF169" s="56"/>
      <c r="AG169" s="56"/>
      <c r="AH169" s="56"/>
    </row>
    <row r="170" spans="1:34" ht="14.1" customHeight="1" x14ac:dyDescent="0.2">
      <c r="A170" s="297"/>
      <c r="B170" s="298"/>
      <c r="C170" s="282"/>
      <c r="D170" s="133"/>
      <c r="E170" s="333"/>
      <c r="F170" s="134"/>
      <c r="G170" s="134"/>
      <c r="H170" s="134"/>
      <c r="I170" s="134"/>
      <c r="J170" s="134"/>
      <c r="K170" s="134"/>
      <c r="L170" s="134"/>
      <c r="M170" s="134"/>
      <c r="N170" s="134"/>
      <c r="O170" s="126"/>
      <c r="P170" s="126"/>
      <c r="Q170" s="122"/>
      <c r="R170" s="126"/>
      <c r="S170" s="127"/>
      <c r="T170" s="466"/>
      <c r="U170" s="471"/>
      <c r="V170" s="381"/>
      <c r="W170" s="382"/>
      <c r="X170" s="187"/>
      <c r="Y170" s="187"/>
      <c r="Z170" s="368"/>
      <c r="AA170" s="369"/>
      <c r="AB170" s="368"/>
      <c r="AC170" s="364"/>
      <c r="AE170" s="56"/>
      <c r="AF170" s="56"/>
      <c r="AG170" s="56"/>
      <c r="AH170" s="56"/>
    </row>
    <row r="171" spans="1:34" ht="14.1" customHeight="1" x14ac:dyDescent="0.2">
      <c r="A171" s="336" t="s">
        <v>39</v>
      </c>
      <c r="B171" s="282"/>
      <c r="C171" s="282"/>
      <c r="D171" s="133"/>
      <c r="E171" s="333"/>
      <c r="F171" s="134"/>
      <c r="G171" s="134"/>
      <c r="H171" s="134"/>
      <c r="I171" s="134"/>
      <c r="J171" s="134"/>
      <c r="K171" s="134"/>
      <c r="L171" s="134"/>
      <c r="M171" s="134"/>
      <c r="N171" s="134"/>
      <c r="O171" s="126"/>
      <c r="P171" s="126"/>
      <c r="Q171" s="122"/>
      <c r="R171" s="126"/>
      <c r="S171" s="127"/>
      <c r="T171" s="466"/>
      <c r="U171" s="471"/>
      <c r="V171" s="381"/>
      <c r="W171" s="382"/>
      <c r="X171" s="187"/>
      <c r="Y171" s="187"/>
      <c r="Z171" s="368"/>
      <c r="AA171" s="369"/>
      <c r="AB171" s="368"/>
      <c r="AC171" s="364"/>
      <c r="AE171" s="56"/>
      <c r="AF171" s="56"/>
      <c r="AG171" s="56"/>
      <c r="AH171" s="56"/>
    </row>
    <row r="172" spans="1:34" ht="14.1" customHeight="1" thickBot="1" x14ac:dyDescent="0.25">
      <c r="A172" s="336"/>
      <c r="B172" s="282"/>
      <c r="C172" s="299" t="s">
        <v>40</v>
      </c>
      <c r="D172" s="133"/>
      <c r="E172" s="333"/>
      <c r="F172" s="134"/>
      <c r="G172" s="134"/>
      <c r="H172" s="134"/>
      <c r="I172" s="134"/>
      <c r="J172" s="134"/>
      <c r="K172" s="134"/>
      <c r="L172" s="134"/>
      <c r="M172" s="134"/>
      <c r="N172" s="134"/>
      <c r="O172" s="126"/>
      <c r="P172" s="126"/>
      <c r="Q172" s="567">
        <f>SUM(Q173:Q185)</f>
        <v>591.47887988407422</v>
      </c>
      <c r="R172" s="340">
        <f t="shared" ref="R172:S172" si="40">SUM(R173:R185)</f>
        <v>3.0888721399752184E-2</v>
      </c>
      <c r="S172" s="340">
        <f t="shared" si="40"/>
        <v>31.476928292138716</v>
      </c>
      <c r="T172" s="466"/>
      <c r="U172" s="471"/>
      <c r="V172" s="381"/>
      <c r="W172" s="382"/>
      <c r="X172" s="187"/>
      <c r="Y172" s="187"/>
      <c r="Z172" s="368"/>
      <c r="AA172" s="369"/>
      <c r="AB172" s="368"/>
      <c r="AC172" s="370"/>
      <c r="AE172" s="360"/>
      <c r="AF172" s="360"/>
      <c r="AG172" s="360"/>
      <c r="AH172" s="360"/>
    </row>
    <row r="173" spans="1:34" ht="14.1" customHeight="1" x14ac:dyDescent="0.2">
      <c r="A173" s="297">
        <v>139</v>
      </c>
      <c r="B173" s="282" t="s">
        <v>158</v>
      </c>
      <c r="C173" s="45"/>
      <c r="D173" s="133">
        <f>Produksi!F181</f>
        <v>0</v>
      </c>
      <c r="E173" s="333">
        <f>Stok!L178</f>
        <v>0</v>
      </c>
      <c r="F173" s="134">
        <f>'Impor_Pangan Masuk'!F180</f>
        <v>0</v>
      </c>
      <c r="G173" s="134">
        <f>'Ekspor_Pangan Keluar'!F180</f>
        <v>0</v>
      </c>
      <c r="H173" s="134">
        <f t="shared" si="39"/>
        <v>0</v>
      </c>
      <c r="I173" s="134">
        <f>'Pemakaian Dalam Negeri'!E185</f>
        <v>0</v>
      </c>
      <c r="J173" s="134">
        <f>'Pemakaian Dalam Negeri'!F185</f>
        <v>0</v>
      </c>
      <c r="K173" s="134">
        <f>'Pemakaian Dalam Negeri'!G185</f>
        <v>0</v>
      </c>
      <c r="L173" s="134">
        <f>'Pemakaian Dalam Negeri'!H185</f>
        <v>0</v>
      </c>
      <c r="M173" s="134">
        <f>'Pemakaian Dalam Negeri'!I185</f>
        <v>0</v>
      </c>
      <c r="N173" s="134">
        <f>'Pemakaian Dalam Negeri'!J185</f>
        <v>0</v>
      </c>
      <c r="O173" s="126">
        <f t="shared" si="37"/>
        <v>0</v>
      </c>
      <c r="P173" s="126">
        <f t="shared" si="38"/>
        <v>0</v>
      </c>
      <c r="Q173" s="568">
        <f t="shared" ref="Q173:Q179" si="41">P173/100*T173/100*U173</f>
        <v>0</v>
      </c>
      <c r="R173" s="177">
        <f t="shared" ref="R173:R179" si="42">P173/100*T173/100*V173</f>
        <v>0</v>
      </c>
      <c r="S173" s="178">
        <f t="shared" ref="S173:S179" si="43">P173/100*T173/100*W173</f>
        <v>0</v>
      </c>
      <c r="T173" s="466">
        <v>100</v>
      </c>
      <c r="U173" s="471">
        <v>902</v>
      </c>
      <c r="V173" s="381">
        <v>0</v>
      </c>
      <c r="W173" s="382">
        <v>100</v>
      </c>
      <c r="X173" s="187">
        <v>0</v>
      </c>
      <c r="Y173" s="187">
        <v>0</v>
      </c>
      <c r="Z173" s="187">
        <v>0</v>
      </c>
      <c r="AA173" s="187">
        <v>0</v>
      </c>
      <c r="AB173" s="187">
        <v>0</v>
      </c>
      <c r="AC173" s="364">
        <v>0</v>
      </c>
      <c r="AE173" s="56">
        <v>100</v>
      </c>
      <c r="AF173" s="56">
        <v>902</v>
      </c>
      <c r="AG173" s="56">
        <v>0</v>
      </c>
      <c r="AH173" s="56">
        <v>100</v>
      </c>
    </row>
    <row r="174" spans="1:34" ht="14.1" customHeight="1" x14ac:dyDescent="0.2">
      <c r="A174" s="297">
        <v>140</v>
      </c>
      <c r="B174" s="282" t="s">
        <v>159</v>
      </c>
      <c r="C174" s="45"/>
      <c r="D174" s="133">
        <f>Produksi!F182</f>
        <v>0</v>
      </c>
      <c r="E174" s="333">
        <f>Stok!L179</f>
        <v>0</v>
      </c>
      <c r="F174" s="134">
        <f>'Impor_Pangan Masuk'!F181</f>
        <v>0</v>
      </c>
      <c r="G174" s="134">
        <f>'Ekspor_Pangan Keluar'!F181</f>
        <v>0</v>
      </c>
      <c r="H174" s="134">
        <f t="shared" si="39"/>
        <v>0</v>
      </c>
      <c r="I174" s="134">
        <f>'Pemakaian Dalam Negeri'!E186</f>
        <v>0</v>
      </c>
      <c r="J174" s="134">
        <f>'Pemakaian Dalam Negeri'!F186</f>
        <v>0</v>
      </c>
      <c r="K174" s="134">
        <f>'Pemakaian Dalam Negeri'!G186</f>
        <v>0</v>
      </c>
      <c r="L174" s="134">
        <f>'Pemakaian Dalam Negeri'!H186</f>
        <v>0</v>
      </c>
      <c r="M174" s="134">
        <f>'Pemakaian Dalam Negeri'!I186</f>
        <v>0</v>
      </c>
      <c r="N174" s="134">
        <f>'Pemakaian Dalam Negeri'!J186</f>
        <v>0</v>
      </c>
      <c r="O174" s="126">
        <f t="shared" si="37"/>
        <v>0</v>
      </c>
      <c r="P174" s="126">
        <f t="shared" si="38"/>
        <v>0</v>
      </c>
      <c r="Q174" s="122">
        <f t="shared" si="41"/>
        <v>0</v>
      </c>
      <c r="R174" s="126">
        <f t="shared" si="42"/>
        <v>0</v>
      </c>
      <c r="S174" s="127">
        <f t="shared" si="43"/>
        <v>0</v>
      </c>
      <c r="T174" s="466">
        <v>100</v>
      </c>
      <c r="U174" s="471">
        <v>870</v>
      </c>
      <c r="V174" s="381">
        <v>1</v>
      </c>
      <c r="W174" s="382">
        <v>98</v>
      </c>
      <c r="X174" s="187">
        <v>0</v>
      </c>
      <c r="Y174" s="187">
        <v>0</v>
      </c>
      <c r="Z174" s="187">
        <v>0</v>
      </c>
      <c r="AA174" s="187">
        <v>3</v>
      </c>
      <c r="AB174" s="187">
        <v>0</v>
      </c>
      <c r="AC174" s="364">
        <v>0</v>
      </c>
      <c r="AE174" s="56">
        <v>100</v>
      </c>
      <c r="AF174" s="56">
        <v>870</v>
      </c>
      <c r="AG174" s="56">
        <v>1</v>
      </c>
      <c r="AH174" s="56">
        <v>98</v>
      </c>
    </row>
    <row r="175" spans="1:34" ht="14.1" customHeight="1" x14ac:dyDescent="0.2">
      <c r="A175" s="297">
        <v>141</v>
      </c>
      <c r="B175" s="282" t="s">
        <v>160</v>
      </c>
      <c r="C175" s="45"/>
      <c r="D175" s="133">
        <f>Produksi!F183</f>
        <v>0</v>
      </c>
      <c r="E175" s="333">
        <f>Stok!L180</f>
        <v>0</v>
      </c>
      <c r="F175" s="134">
        <f>'Impor_Pangan Masuk'!F182</f>
        <v>5860</v>
      </c>
      <c r="G175" s="134">
        <f>'Ekspor_Pangan Keluar'!F182</f>
        <v>0</v>
      </c>
      <c r="H175" s="134">
        <f t="shared" si="39"/>
        <v>5860</v>
      </c>
      <c r="I175" s="134">
        <f>'Pemakaian Dalam Negeri'!E187</f>
        <v>0</v>
      </c>
      <c r="J175" s="134">
        <f>'Pemakaian Dalam Negeri'!F187</f>
        <v>0</v>
      </c>
      <c r="K175" s="134">
        <f>'Pemakaian Dalam Negeri'!G187</f>
        <v>0</v>
      </c>
      <c r="L175" s="134">
        <f>'Pemakaian Dalam Negeri'!H187</f>
        <v>90.83</v>
      </c>
      <c r="M175" s="134">
        <f>'Pemakaian Dalam Negeri'!I187</f>
        <v>0</v>
      </c>
      <c r="N175" s="134">
        <f>'Pemakaian Dalam Negeri'!J187</f>
        <v>5769.17</v>
      </c>
      <c r="O175" s="126">
        <f t="shared" si="37"/>
        <v>23.252937264464641</v>
      </c>
      <c r="P175" s="126">
        <f t="shared" si="38"/>
        <v>63.706677436889429</v>
      </c>
      <c r="Q175" s="122">
        <f t="shared" si="41"/>
        <v>574.63423048074264</v>
      </c>
      <c r="R175" s="126">
        <f t="shared" si="42"/>
        <v>0</v>
      </c>
      <c r="S175" s="127">
        <f t="shared" si="43"/>
        <v>29.623605008153582</v>
      </c>
      <c r="T175" s="466">
        <v>100</v>
      </c>
      <c r="U175" s="471">
        <v>902</v>
      </c>
      <c r="V175" s="381">
        <v>0</v>
      </c>
      <c r="W175" s="382">
        <v>46.5</v>
      </c>
      <c r="X175" s="187">
        <v>60000</v>
      </c>
      <c r="Y175" s="187">
        <v>0</v>
      </c>
      <c r="Z175" s="187">
        <v>0</v>
      </c>
      <c r="AA175" s="187">
        <v>0</v>
      </c>
      <c r="AB175" s="187">
        <v>0</v>
      </c>
      <c r="AC175" s="364">
        <v>0</v>
      </c>
      <c r="AE175" s="56">
        <v>100</v>
      </c>
      <c r="AF175" s="56">
        <v>884</v>
      </c>
      <c r="AG175" s="56">
        <v>0</v>
      </c>
      <c r="AH175" s="56">
        <v>100</v>
      </c>
    </row>
    <row r="176" spans="1:34" ht="14.1" customHeight="1" x14ac:dyDescent="0.2">
      <c r="A176" s="297">
        <v>142</v>
      </c>
      <c r="B176" s="282" t="s">
        <v>41</v>
      </c>
      <c r="C176" s="45"/>
      <c r="D176" s="133">
        <f>Produksi!F184</f>
        <v>0</v>
      </c>
      <c r="E176" s="333">
        <f>Stok!L181</f>
        <v>0</v>
      </c>
      <c r="F176" s="134">
        <f>'Impor_Pangan Masuk'!F183</f>
        <v>0</v>
      </c>
      <c r="G176" s="134">
        <f>'Ekspor_Pangan Keluar'!F183</f>
        <v>0</v>
      </c>
      <c r="H176" s="134">
        <f t="shared" si="39"/>
        <v>0</v>
      </c>
      <c r="I176" s="134">
        <f>'Pemakaian Dalam Negeri'!E188</f>
        <v>0</v>
      </c>
      <c r="J176" s="134">
        <f>'Pemakaian Dalam Negeri'!F188</f>
        <v>0</v>
      </c>
      <c r="K176" s="134">
        <f>'Pemakaian Dalam Negeri'!G188</f>
        <v>0</v>
      </c>
      <c r="L176" s="134">
        <f>'Pemakaian Dalam Negeri'!H188</f>
        <v>0</v>
      </c>
      <c r="M176" s="134">
        <f>'Pemakaian Dalam Negeri'!I188</f>
        <v>0</v>
      </c>
      <c r="N176" s="134">
        <f>'Pemakaian Dalam Negeri'!J188</f>
        <v>0</v>
      </c>
      <c r="O176" s="126">
        <f t="shared" si="37"/>
        <v>0</v>
      </c>
      <c r="P176" s="126">
        <f t="shared" si="38"/>
        <v>0</v>
      </c>
      <c r="Q176" s="122">
        <f t="shared" si="41"/>
        <v>0</v>
      </c>
      <c r="R176" s="126">
        <f t="shared" si="42"/>
        <v>0</v>
      </c>
      <c r="S176" s="127">
        <f t="shared" si="43"/>
        <v>0</v>
      </c>
      <c r="T176" s="466">
        <v>100</v>
      </c>
      <c r="U176" s="471">
        <v>883</v>
      </c>
      <c r="V176" s="381">
        <v>0</v>
      </c>
      <c r="W176" s="382">
        <v>99.9</v>
      </c>
      <c r="X176" s="187"/>
      <c r="Y176" s="187"/>
      <c r="Z176" s="187"/>
      <c r="AA176" s="187"/>
      <c r="AB176" s="187"/>
      <c r="AC176" s="364"/>
      <c r="AE176" s="358"/>
      <c r="AF176" s="358"/>
      <c r="AG176" s="358"/>
      <c r="AH176" s="358"/>
    </row>
    <row r="177" spans="1:34" x14ac:dyDescent="0.2">
      <c r="A177" s="297">
        <v>143</v>
      </c>
      <c r="B177" s="282" t="s">
        <v>42</v>
      </c>
      <c r="C177" s="45"/>
      <c r="D177" s="133">
        <f>Produksi!F185</f>
        <v>0</v>
      </c>
      <c r="E177" s="333">
        <f>Stok!L182</f>
        <v>0</v>
      </c>
      <c r="F177" s="134">
        <f>'Impor_Pangan Masuk'!F184</f>
        <v>0</v>
      </c>
      <c r="G177" s="134">
        <f>'Ekspor_Pangan Keluar'!F184</f>
        <v>0</v>
      </c>
      <c r="H177" s="134">
        <f t="shared" si="39"/>
        <v>0</v>
      </c>
      <c r="I177" s="134">
        <f>'Pemakaian Dalam Negeri'!E189</f>
        <v>0</v>
      </c>
      <c r="J177" s="134">
        <f>'Pemakaian Dalam Negeri'!F189</f>
        <v>0</v>
      </c>
      <c r="K177" s="134">
        <f>'Pemakaian Dalam Negeri'!G189</f>
        <v>0</v>
      </c>
      <c r="L177" s="134">
        <f>'Pemakaian Dalam Negeri'!H189</f>
        <v>0</v>
      </c>
      <c r="M177" s="134">
        <f>'Pemakaian Dalam Negeri'!I189</f>
        <v>0</v>
      </c>
      <c r="N177" s="134">
        <f>'Pemakaian Dalam Negeri'!J189</f>
        <v>0</v>
      </c>
      <c r="O177" s="126">
        <f t="shared" si="37"/>
        <v>0</v>
      </c>
      <c r="P177" s="126">
        <f t="shared" si="38"/>
        <v>0</v>
      </c>
      <c r="Q177" s="122">
        <f t="shared" si="41"/>
        <v>0</v>
      </c>
      <c r="R177" s="126">
        <f t="shared" si="42"/>
        <v>0</v>
      </c>
      <c r="S177" s="127">
        <f t="shared" si="43"/>
        <v>0</v>
      </c>
      <c r="T177" s="466">
        <v>100</v>
      </c>
      <c r="U177" s="471">
        <v>884</v>
      </c>
      <c r="V177" s="381">
        <v>0</v>
      </c>
      <c r="W177" s="382">
        <v>100</v>
      </c>
      <c r="X177" s="187"/>
      <c r="Y177" s="187"/>
      <c r="Z177" s="187"/>
      <c r="AA177" s="187"/>
      <c r="AB177" s="187"/>
      <c r="AC177" s="364"/>
      <c r="AE177" s="56">
        <v>100</v>
      </c>
      <c r="AF177" s="56">
        <v>884</v>
      </c>
      <c r="AG177" s="56">
        <v>0</v>
      </c>
      <c r="AH177" s="56">
        <v>100</v>
      </c>
    </row>
    <row r="178" spans="1:34" x14ac:dyDescent="0.2">
      <c r="A178" s="297">
        <v>144</v>
      </c>
      <c r="B178" s="282" t="s">
        <v>43</v>
      </c>
      <c r="C178" s="45"/>
      <c r="D178" s="133">
        <f>Produksi!F186</f>
        <v>0</v>
      </c>
      <c r="E178" s="333">
        <f>Stok!L183</f>
        <v>0</v>
      </c>
      <c r="F178" s="134">
        <f>'Impor_Pangan Masuk'!F185</f>
        <v>0</v>
      </c>
      <c r="G178" s="134">
        <f>'Ekspor_Pangan Keluar'!F185</f>
        <v>0</v>
      </c>
      <c r="H178" s="134">
        <f t="shared" si="39"/>
        <v>0</v>
      </c>
      <c r="I178" s="134">
        <f>'Pemakaian Dalam Negeri'!E190</f>
        <v>0</v>
      </c>
      <c r="J178" s="134">
        <f>'Pemakaian Dalam Negeri'!F190</f>
        <v>0</v>
      </c>
      <c r="K178" s="134">
        <f>'Pemakaian Dalam Negeri'!G190</f>
        <v>0</v>
      </c>
      <c r="L178" s="134">
        <f>'Pemakaian Dalam Negeri'!H190</f>
        <v>0</v>
      </c>
      <c r="M178" s="134">
        <f>'Pemakaian Dalam Negeri'!I190</f>
        <v>0</v>
      </c>
      <c r="N178" s="134">
        <f>'Pemakaian Dalam Negeri'!J190</f>
        <v>0</v>
      </c>
      <c r="O178" s="126">
        <f t="shared" si="37"/>
        <v>0</v>
      </c>
      <c r="P178" s="126">
        <f t="shared" si="38"/>
        <v>0</v>
      </c>
      <c r="Q178" s="122">
        <f t="shared" si="41"/>
        <v>0</v>
      </c>
      <c r="R178" s="126">
        <f t="shared" si="42"/>
        <v>0</v>
      </c>
      <c r="S178" s="127">
        <f t="shared" si="43"/>
        <v>0</v>
      </c>
      <c r="T178" s="466">
        <v>100</v>
      </c>
      <c r="U178" s="471">
        <v>881</v>
      </c>
      <c r="V178" s="381">
        <v>0.2</v>
      </c>
      <c r="W178" s="382">
        <v>99.7</v>
      </c>
      <c r="X178" s="187"/>
      <c r="Y178" s="187"/>
      <c r="Z178" s="187"/>
      <c r="AA178" s="187"/>
      <c r="AB178" s="187"/>
      <c r="AC178" s="364"/>
      <c r="AE178" s="56">
        <v>100</v>
      </c>
      <c r="AF178" s="56">
        <v>881</v>
      </c>
      <c r="AG178" s="56">
        <v>0.2</v>
      </c>
      <c r="AH178" s="56">
        <v>99.7</v>
      </c>
    </row>
    <row r="179" spans="1:34" x14ac:dyDescent="0.2">
      <c r="A179" s="297">
        <v>145</v>
      </c>
      <c r="B179" s="282" t="s">
        <v>44</v>
      </c>
      <c r="C179" s="45"/>
      <c r="D179" s="133">
        <f>Produksi!F187</f>
        <v>0</v>
      </c>
      <c r="E179" s="333">
        <f>Stok!L184</f>
        <v>0</v>
      </c>
      <c r="F179" s="134">
        <f>'Impor_Pangan Masuk'!F186</f>
        <v>0</v>
      </c>
      <c r="G179" s="134">
        <f>'Ekspor_Pangan Keluar'!F186</f>
        <v>0</v>
      </c>
      <c r="H179" s="134">
        <f t="shared" si="39"/>
        <v>0</v>
      </c>
      <c r="I179" s="134">
        <f>'Pemakaian Dalam Negeri'!E191</f>
        <v>0</v>
      </c>
      <c r="J179" s="134">
        <f>'Pemakaian Dalam Negeri'!F191</f>
        <v>0</v>
      </c>
      <c r="K179" s="134">
        <f>'Pemakaian Dalam Negeri'!G191</f>
        <v>0</v>
      </c>
      <c r="L179" s="134">
        <f>'Pemakaian Dalam Negeri'!H191</f>
        <v>0</v>
      </c>
      <c r="M179" s="134">
        <f>'Pemakaian Dalam Negeri'!I191</f>
        <v>0</v>
      </c>
      <c r="N179" s="134">
        <f>'Pemakaian Dalam Negeri'!J191</f>
        <v>0</v>
      </c>
      <c r="O179" s="126">
        <f t="shared" si="37"/>
        <v>0</v>
      </c>
      <c r="P179" s="126">
        <f t="shared" si="38"/>
        <v>0</v>
      </c>
      <c r="Q179" s="122">
        <f t="shared" si="41"/>
        <v>0</v>
      </c>
      <c r="R179" s="126">
        <f t="shared" si="42"/>
        <v>0</v>
      </c>
      <c r="S179" s="127">
        <f t="shared" si="43"/>
        <v>0</v>
      </c>
      <c r="T179" s="466">
        <v>100</v>
      </c>
      <c r="U179" s="471">
        <v>883</v>
      </c>
      <c r="V179" s="381">
        <v>0</v>
      </c>
      <c r="W179" s="382">
        <v>99.9</v>
      </c>
      <c r="X179" s="187"/>
      <c r="Y179" s="187"/>
      <c r="Z179" s="187"/>
      <c r="AA179" s="187"/>
      <c r="AB179" s="187"/>
      <c r="AC179" s="364"/>
      <c r="AE179" s="56">
        <v>100</v>
      </c>
      <c r="AF179" s="56">
        <v>883</v>
      </c>
      <c r="AG179" s="56">
        <v>0</v>
      </c>
      <c r="AH179" s="56">
        <v>99.9</v>
      </c>
    </row>
    <row r="180" spans="1:34" x14ac:dyDescent="0.2">
      <c r="A180" s="297"/>
      <c r="B180" s="282"/>
      <c r="C180" s="45"/>
      <c r="D180" s="133"/>
      <c r="E180" s="333"/>
      <c r="F180" s="134"/>
      <c r="G180" s="134"/>
      <c r="H180" s="134"/>
      <c r="I180" s="134"/>
      <c r="J180" s="134"/>
      <c r="K180" s="134"/>
      <c r="L180" s="134"/>
      <c r="M180" s="134"/>
      <c r="N180" s="134"/>
      <c r="O180" s="126"/>
      <c r="P180" s="126"/>
      <c r="Q180" s="122"/>
      <c r="R180" s="126"/>
      <c r="S180" s="127"/>
      <c r="T180" s="466"/>
      <c r="U180" s="471"/>
      <c r="V180" s="381"/>
      <c r="W180" s="382"/>
      <c r="X180" s="187"/>
      <c r="Y180" s="187"/>
      <c r="Z180" s="187"/>
      <c r="AA180" s="187"/>
      <c r="AB180" s="187"/>
      <c r="AC180" s="364"/>
      <c r="AE180" s="56"/>
      <c r="AF180" s="56"/>
      <c r="AG180" s="56"/>
      <c r="AH180" s="56"/>
    </row>
    <row r="181" spans="1:34" x14ac:dyDescent="0.2">
      <c r="A181" s="297">
        <v>146</v>
      </c>
      <c r="B181" s="282" t="s">
        <v>161</v>
      </c>
      <c r="C181" s="45"/>
      <c r="D181" s="133">
        <f>Produksi!F189</f>
        <v>117.91468295006402</v>
      </c>
      <c r="E181" s="333">
        <f>Stok!L186</f>
        <v>0</v>
      </c>
      <c r="F181" s="134">
        <f>'Impor_Pangan Masuk'!F188</f>
        <v>44.46</v>
      </c>
      <c r="G181" s="134">
        <f>'Ekspor_Pangan Keluar'!F188</f>
        <v>0</v>
      </c>
      <c r="H181" s="134">
        <f t="shared" si="39"/>
        <v>162.37468295006403</v>
      </c>
      <c r="I181" s="134">
        <f>'Pemakaian Dalam Negeri'!E193</f>
        <v>0</v>
      </c>
      <c r="J181" s="134">
        <f>'Pemakaian Dalam Negeri'!F193</f>
        <v>0</v>
      </c>
      <c r="K181" s="134">
        <f>'Pemakaian Dalam Negeri'!G193</f>
        <v>0</v>
      </c>
      <c r="L181" s="134">
        <f>'Pemakaian Dalam Negeri'!H193</f>
        <v>0</v>
      </c>
      <c r="M181" s="134">
        <f>'Pemakaian Dalam Negeri'!I193</f>
        <v>0</v>
      </c>
      <c r="N181" s="134">
        <f>'Pemakaian Dalam Negeri'!J193</f>
        <v>162.37468295006403</v>
      </c>
      <c r="O181" s="126">
        <f t="shared" si="37"/>
        <v>0.65445953507613319</v>
      </c>
      <c r="P181" s="126">
        <f t="shared" si="38"/>
        <v>1.7930398221263923</v>
      </c>
      <c r="Q181" s="122">
        <f>P181/100*T181/100*U181</f>
        <v>14.66706574499389</v>
      </c>
      <c r="R181" s="126">
        <f>P181/100*T181/100*V181</f>
        <v>2.6895597331895886E-2</v>
      </c>
      <c r="S181" s="127">
        <f>P181/100*T181/100*W181</f>
        <v>1.6137358399137531</v>
      </c>
      <c r="T181" s="466">
        <v>100</v>
      </c>
      <c r="U181" s="471">
        <v>818</v>
      </c>
      <c r="V181" s="381">
        <v>1.5</v>
      </c>
      <c r="W181" s="382">
        <v>90</v>
      </c>
      <c r="X181" s="187">
        <v>0</v>
      </c>
      <c r="Y181" s="187">
        <v>0</v>
      </c>
      <c r="Z181" s="187">
        <v>0</v>
      </c>
      <c r="AA181" s="187">
        <v>0</v>
      </c>
      <c r="AB181" s="187">
        <v>0</v>
      </c>
      <c r="AC181" s="364">
        <v>0</v>
      </c>
      <c r="AE181" s="56">
        <v>100</v>
      </c>
      <c r="AF181" s="56">
        <v>818</v>
      </c>
      <c r="AG181" s="56">
        <v>1.5</v>
      </c>
      <c r="AH181" s="56">
        <v>90</v>
      </c>
    </row>
    <row r="182" spans="1:34" x14ac:dyDescent="0.2">
      <c r="A182" s="297">
        <v>147</v>
      </c>
      <c r="B182" s="282" t="s">
        <v>162</v>
      </c>
      <c r="C182" s="45"/>
      <c r="D182" s="133">
        <f>Produksi!F190</f>
        <v>9.0188264055307599</v>
      </c>
      <c r="E182" s="333">
        <f>Stok!L187</f>
        <v>0</v>
      </c>
      <c r="F182" s="134">
        <f>'Impor_Pangan Masuk'!F189</f>
        <v>10.050000000000001</v>
      </c>
      <c r="G182" s="134">
        <f>'Ekspor_Pangan Keluar'!F189</f>
        <v>0</v>
      </c>
      <c r="H182" s="134">
        <f t="shared" si="39"/>
        <v>19.068826405530761</v>
      </c>
      <c r="I182" s="134">
        <f>'Pemakaian Dalam Negeri'!E194</f>
        <v>0</v>
      </c>
      <c r="J182" s="134">
        <f>'Pemakaian Dalam Negeri'!F194</f>
        <v>0</v>
      </c>
      <c r="K182" s="134">
        <f>'Pemakaian Dalam Negeri'!G194</f>
        <v>0</v>
      </c>
      <c r="L182" s="134">
        <f>'Pemakaian Dalam Negeri'!H194</f>
        <v>0</v>
      </c>
      <c r="M182" s="134">
        <f>'Pemakaian Dalam Negeri'!I194</f>
        <v>0</v>
      </c>
      <c r="N182" s="134">
        <f>'Pemakaian Dalam Negeri'!J194</f>
        <v>19.068826405530761</v>
      </c>
      <c r="O182" s="126">
        <f t="shared" si="37"/>
        <v>7.6857888416318743E-2</v>
      </c>
      <c r="P182" s="126">
        <f t="shared" si="38"/>
        <v>0.21056955730498286</v>
      </c>
      <c r="Q182" s="122">
        <f>P182/100*T182/100*U182</f>
        <v>1.72245897875476</v>
      </c>
      <c r="R182" s="126">
        <f>P182/100*T182/100*V182</f>
        <v>3.158543359574743E-3</v>
      </c>
      <c r="S182" s="127">
        <f>P182/100*T182/100*W182</f>
        <v>0.1895126015744846</v>
      </c>
      <c r="T182" s="466">
        <v>100</v>
      </c>
      <c r="U182" s="471">
        <v>818</v>
      </c>
      <c r="V182" s="381">
        <v>1.5</v>
      </c>
      <c r="W182" s="382">
        <v>90</v>
      </c>
      <c r="X182" s="187">
        <v>0</v>
      </c>
      <c r="Y182" s="187">
        <v>0</v>
      </c>
      <c r="Z182" s="187">
        <v>0</v>
      </c>
      <c r="AA182" s="187">
        <v>0</v>
      </c>
      <c r="AB182" s="187">
        <v>0</v>
      </c>
      <c r="AC182" s="364">
        <v>0</v>
      </c>
      <c r="AE182" s="56">
        <v>100</v>
      </c>
      <c r="AF182" s="56">
        <v>818</v>
      </c>
      <c r="AG182" s="56">
        <v>1.5</v>
      </c>
      <c r="AH182" s="56">
        <v>90</v>
      </c>
    </row>
    <row r="183" spans="1:34" x14ac:dyDescent="0.2">
      <c r="A183" s="297">
        <v>148</v>
      </c>
      <c r="B183" s="282" t="s">
        <v>163</v>
      </c>
      <c r="C183" s="45"/>
      <c r="D183" s="133">
        <f>Produksi!F191</f>
        <v>5.0385487346193996</v>
      </c>
      <c r="E183" s="333">
        <f>Stok!L188</f>
        <v>0</v>
      </c>
      <c r="F183" s="134">
        <f>'Impor_Pangan Masuk'!F190</f>
        <v>0</v>
      </c>
      <c r="G183" s="134">
        <f>'Ekspor_Pangan Keluar'!F190</f>
        <v>0</v>
      </c>
      <c r="H183" s="134">
        <f t="shared" si="39"/>
        <v>5.0385487346193996</v>
      </c>
      <c r="I183" s="134">
        <f>'Pemakaian Dalam Negeri'!E195</f>
        <v>0</v>
      </c>
      <c r="J183" s="134">
        <f>'Pemakaian Dalam Negeri'!F195</f>
        <v>0</v>
      </c>
      <c r="K183" s="134">
        <f>'Pemakaian Dalam Negeri'!G195</f>
        <v>0</v>
      </c>
      <c r="L183" s="134">
        <f>'Pemakaian Dalam Negeri'!H195</f>
        <v>0</v>
      </c>
      <c r="M183" s="134">
        <f>'Pemakaian Dalam Negeri'!I195</f>
        <v>0</v>
      </c>
      <c r="N183" s="134">
        <f>'Pemakaian Dalam Negeri'!J195</f>
        <v>5.0385487346193996</v>
      </c>
      <c r="O183" s="126">
        <f t="shared" si="37"/>
        <v>2.0308130568184438E-2</v>
      </c>
      <c r="P183" s="126">
        <f t="shared" si="38"/>
        <v>5.5638713885436814E-2</v>
      </c>
      <c r="Q183" s="122">
        <f>P183/100*T183/100*U183</f>
        <v>0.45512467958287312</v>
      </c>
      <c r="R183" s="126">
        <f>P183/100*T183/100*V183</f>
        <v>8.3458070828155214E-4</v>
      </c>
      <c r="S183" s="127">
        <f>P183/100*T183/100*W183</f>
        <v>5.0074842496893125E-2</v>
      </c>
      <c r="T183" s="466">
        <v>100</v>
      </c>
      <c r="U183" s="471">
        <v>818</v>
      </c>
      <c r="V183" s="381">
        <v>1.5</v>
      </c>
      <c r="W183" s="382">
        <v>90</v>
      </c>
      <c r="X183" s="187">
        <v>0</v>
      </c>
      <c r="Y183" s="187">
        <v>0</v>
      </c>
      <c r="Z183" s="187">
        <v>0</v>
      </c>
      <c r="AA183" s="187">
        <v>0</v>
      </c>
      <c r="AB183" s="187">
        <v>0</v>
      </c>
      <c r="AC183" s="364">
        <v>0</v>
      </c>
      <c r="AE183" s="358"/>
      <c r="AF183" s="358"/>
      <c r="AG183" s="358"/>
      <c r="AH183" s="358"/>
    </row>
    <row r="184" spans="1:34" x14ac:dyDescent="0.2">
      <c r="A184" s="297">
        <v>149</v>
      </c>
      <c r="B184" s="282" t="s">
        <v>164</v>
      </c>
      <c r="C184" s="45"/>
      <c r="D184" s="133">
        <f>Produksi!F192</f>
        <v>0</v>
      </c>
      <c r="E184" s="333">
        <f>Stok!L189</f>
        <v>0</v>
      </c>
      <c r="F184" s="134">
        <f>'Impor_Pangan Masuk'!F191</f>
        <v>0</v>
      </c>
      <c r="G184" s="134">
        <f>'Ekspor_Pangan Keluar'!F191</f>
        <v>0</v>
      </c>
      <c r="H184" s="134">
        <f t="shared" si="39"/>
        <v>0</v>
      </c>
      <c r="I184" s="134">
        <f>'Pemakaian Dalam Negeri'!E196</f>
        <v>0</v>
      </c>
      <c r="J184" s="134">
        <f>'Pemakaian Dalam Negeri'!F196</f>
        <v>0</v>
      </c>
      <c r="K184" s="134">
        <f>'Pemakaian Dalam Negeri'!G196</f>
        <v>0</v>
      </c>
      <c r="L184" s="134">
        <f>'Pemakaian Dalam Negeri'!H196</f>
        <v>0</v>
      </c>
      <c r="M184" s="134">
        <f>'Pemakaian Dalam Negeri'!I196</f>
        <v>0</v>
      </c>
      <c r="N184" s="134">
        <f>'Pemakaian Dalam Negeri'!J196</f>
        <v>0</v>
      </c>
      <c r="O184" s="126">
        <f t="shared" si="37"/>
        <v>0</v>
      </c>
      <c r="P184" s="126">
        <f t="shared" si="38"/>
        <v>0</v>
      </c>
      <c r="Q184" s="122">
        <f>P184/100*T184/100*U184</f>
        <v>0</v>
      </c>
      <c r="R184" s="126">
        <f>P184/100*T184/100*V184</f>
        <v>0</v>
      </c>
      <c r="S184" s="127">
        <f>P184/100*T184/100*W184</f>
        <v>0</v>
      </c>
      <c r="T184" s="466">
        <v>100</v>
      </c>
      <c r="U184" s="471">
        <v>818</v>
      </c>
      <c r="V184" s="381">
        <v>1.5</v>
      </c>
      <c r="W184" s="382">
        <v>90</v>
      </c>
      <c r="X184" s="187">
        <v>0</v>
      </c>
      <c r="Y184" s="187">
        <v>0</v>
      </c>
      <c r="Z184" s="187">
        <v>0</v>
      </c>
      <c r="AA184" s="187">
        <v>0</v>
      </c>
      <c r="AB184" s="187">
        <v>0</v>
      </c>
      <c r="AC184" s="364">
        <v>0</v>
      </c>
      <c r="AE184" s="358"/>
      <c r="AF184" s="358"/>
      <c r="AG184" s="358"/>
      <c r="AH184" s="358"/>
    </row>
    <row r="185" spans="1:34" x14ac:dyDescent="0.2">
      <c r="A185" s="297">
        <v>150</v>
      </c>
      <c r="B185" s="282" t="s">
        <v>165</v>
      </c>
      <c r="C185" s="45"/>
      <c r="D185" s="133">
        <f>Produksi!F193</f>
        <v>0</v>
      </c>
      <c r="E185" s="333">
        <f>Stok!L190</f>
        <v>0</v>
      </c>
      <c r="F185" s="134">
        <f>'Impor_Pangan Masuk'!F192</f>
        <v>0</v>
      </c>
      <c r="G185" s="134">
        <f>'Ekspor_Pangan Keluar'!F192</f>
        <v>0</v>
      </c>
      <c r="H185" s="134">
        <f t="shared" si="39"/>
        <v>0</v>
      </c>
      <c r="I185" s="134">
        <f>'Pemakaian Dalam Negeri'!E197</f>
        <v>0</v>
      </c>
      <c r="J185" s="134">
        <f>'Pemakaian Dalam Negeri'!F197</f>
        <v>0</v>
      </c>
      <c r="K185" s="134">
        <f>'Pemakaian Dalam Negeri'!G197</f>
        <v>0</v>
      </c>
      <c r="L185" s="134">
        <f>'Pemakaian Dalam Negeri'!H197</f>
        <v>0</v>
      </c>
      <c r="M185" s="134">
        <f>'Pemakaian Dalam Negeri'!I197</f>
        <v>0</v>
      </c>
      <c r="N185" s="134">
        <f>'Pemakaian Dalam Negeri'!J197</f>
        <v>0</v>
      </c>
      <c r="O185" s="585">
        <f t="shared" si="37"/>
        <v>0</v>
      </c>
      <c r="P185" s="585">
        <f>O185/365*1000</f>
        <v>0</v>
      </c>
      <c r="Q185" s="133">
        <f>P185/100*T185/100*U185</f>
        <v>0</v>
      </c>
      <c r="R185" s="585">
        <f>P185/100*T185/100*V185</f>
        <v>0</v>
      </c>
      <c r="S185" s="586">
        <f>P185/100*T185/100*W185</f>
        <v>0</v>
      </c>
      <c r="T185" s="470">
        <v>100</v>
      </c>
      <c r="U185" s="477">
        <v>902</v>
      </c>
      <c r="V185" s="392">
        <v>0</v>
      </c>
      <c r="W185" s="393">
        <v>100</v>
      </c>
      <c r="X185" s="371">
        <v>0</v>
      </c>
      <c r="Y185" s="371">
        <v>0</v>
      </c>
      <c r="Z185" s="371">
        <v>0</v>
      </c>
      <c r="AA185" s="371">
        <v>0</v>
      </c>
      <c r="AB185" s="371">
        <v>0</v>
      </c>
      <c r="AC185" s="372">
        <v>0</v>
      </c>
      <c r="AE185" s="56">
        <v>100</v>
      </c>
      <c r="AF185" s="56">
        <v>902</v>
      </c>
      <c r="AG185" s="56">
        <v>0</v>
      </c>
      <c r="AH185" s="56">
        <v>100</v>
      </c>
    </row>
    <row r="187" spans="1:34" x14ac:dyDescent="0.2">
      <c r="D187" s="207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</row>
    <row r="188" spans="1:34" x14ac:dyDescent="0.2">
      <c r="O188" s="199" t="s">
        <v>300</v>
      </c>
      <c r="P188" s="341" t="s">
        <v>301</v>
      </c>
      <c r="Q188" s="569">
        <f>Q172+Q135+Q131+Q125+Q112+Q77+Q35+Q29+Q24+Q18+Q12</f>
        <v>2422.5598796523864</v>
      </c>
      <c r="R188" s="200">
        <f>R172+R135+R131+R125+R112+R77+R35+R29+R24+R18+R12</f>
        <v>101.94146800108925</v>
      </c>
      <c r="S188" s="200">
        <f>S172+S135+S131+S125+S112+S77+S35+S29+S24+S18+S12</f>
        <v>73.178643885935912</v>
      </c>
    </row>
    <row r="189" spans="1:34" x14ac:dyDescent="0.2">
      <c r="O189" s="69"/>
      <c r="P189" s="342"/>
      <c r="Q189" s="570"/>
      <c r="R189" s="200"/>
      <c r="S189" s="201"/>
    </row>
    <row r="190" spans="1:34" x14ac:dyDescent="0.2">
      <c r="O190" s="199" t="s">
        <v>302</v>
      </c>
      <c r="P190" s="341" t="s">
        <v>301</v>
      </c>
      <c r="Q190" s="569">
        <f>Q173+Q174+Q175+Q177+Q176+Q178+Q179+Q157+Q77+Q35+Q29+Q24+Q18+Q12</f>
        <v>1807.7172462695321</v>
      </c>
      <c r="R190" s="200">
        <f>R173+R174+R175+R177+R176+R178+R179+R157+R77+R35+R29+R24+R18+R12</f>
        <v>32.426991617679718</v>
      </c>
      <c r="S190" s="200">
        <f>S173+S174+S175+S177+S176+S178+S179+S157+S77+S35+S29+S24+S18+S12</f>
        <v>38.943584232358837</v>
      </c>
    </row>
    <row r="191" spans="1:34" x14ac:dyDescent="0.2">
      <c r="O191" s="199"/>
      <c r="P191" s="341"/>
      <c r="Q191" s="569"/>
      <c r="R191" s="200"/>
      <c r="S191" s="200"/>
    </row>
    <row r="192" spans="1:34" x14ac:dyDescent="0.2">
      <c r="O192" s="199" t="s">
        <v>303</v>
      </c>
      <c r="P192" s="341" t="s">
        <v>301</v>
      </c>
      <c r="Q192" s="569">
        <f>Q181+Q185+Q184+Q183+Q182+Q135+Q131+Q125+Q112-Q157</f>
        <v>614.84263338285427</v>
      </c>
      <c r="R192" s="200">
        <f>R181+R185+R184+R183+R182+R135+R131+R125+R112-R157</f>
        <v>69.514476383409516</v>
      </c>
      <c r="S192" s="200">
        <f>S112+S125+S131+S135+S181+S182+S183+S184+S185</f>
        <v>34.235059653577046</v>
      </c>
    </row>
  </sheetData>
  <sheetProtection algorithmName="SHA-512" hashValue="2qgulZ0Ttpor6qtp8juajKFpcZx6M7d66jyMui0PkbYu1p8i7KVFXpwgE3gBqhoQDQ/Xl2/CBS6wJdhZxM9J3g==" saltValue="U87z2I8YEfhutIaqk/hbhg==" spinCount="100000" sheet="1" objects="1" scenarios="1"/>
  <mergeCells count="32">
    <mergeCell ref="R1:S1"/>
    <mergeCell ref="A2:S2"/>
    <mergeCell ref="A3:S3"/>
    <mergeCell ref="G4:I4"/>
    <mergeCell ref="E6:E7"/>
    <mergeCell ref="F6:F7"/>
    <mergeCell ref="G6:G7"/>
    <mergeCell ref="H6:H10"/>
    <mergeCell ref="O7:O8"/>
    <mergeCell ref="L8:L10"/>
    <mergeCell ref="M8:M10"/>
    <mergeCell ref="J6:J7"/>
    <mergeCell ref="A5:C7"/>
    <mergeCell ref="D5:H5"/>
    <mergeCell ref="I5:N5"/>
    <mergeCell ref="O5:S5"/>
    <mergeCell ref="T9:W9"/>
    <mergeCell ref="A11:C11"/>
    <mergeCell ref="O9:O10"/>
    <mergeCell ref="N8:N10"/>
    <mergeCell ref="D6:D7"/>
    <mergeCell ref="I6:I7"/>
    <mergeCell ref="O6:S6"/>
    <mergeCell ref="A8:C9"/>
    <mergeCell ref="F8:F10"/>
    <mergeCell ref="G8:G10"/>
    <mergeCell ref="I8:I10"/>
    <mergeCell ref="J8:J10"/>
    <mergeCell ref="D8:D10"/>
    <mergeCell ref="K8:K10"/>
    <mergeCell ref="L6:L7"/>
    <mergeCell ref="M6:M7"/>
  </mergeCells>
  <printOptions horizontalCentered="1"/>
  <pageMargins left="0.27559055118110237" right="0.11811023622047245" top="0.43307086614173229" bottom="0.55118110236220474" header="0.31496062992125984" footer="0.31496062992125984"/>
  <pageSetup paperSize="9" scale="63" firstPageNumber="58" fitToHeight="0" pageOrder="overThenDown" orientation="landscape" useFirstPageNumber="1" horizontalDpi="4294967293" verticalDpi="360" r:id="rId1"/>
  <rowBreaks count="2" manualBreakCount="2">
    <brk id="56" max="18" man="1"/>
    <brk id="104" max="18" man="1"/>
  </row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zoomScale="94" zoomScaleNormal="130" workbookViewId="0">
      <selection activeCell="A4" sqref="A4:I4"/>
    </sheetView>
  </sheetViews>
  <sheetFormatPr defaultColWidth="9" defaultRowHeight="12.75" x14ac:dyDescent="0.2"/>
  <cols>
    <col min="1" max="1" width="4.28515625" style="213" customWidth="1"/>
    <col min="2" max="2" width="17.28515625" style="213" customWidth="1"/>
    <col min="3" max="5" width="9" style="213"/>
    <col min="6" max="6" width="8.85546875" style="213" customWidth="1"/>
    <col min="7" max="8" width="9" style="213"/>
    <col min="9" max="9" width="7.7109375" style="213" customWidth="1"/>
    <col min="10" max="11" width="9" style="213"/>
    <col min="12" max="12" width="25" style="213" customWidth="1"/>
    <col min="13" max="13" width="10.28515625" style="213" customWidth="1"/>
    <col min="14" max="14" width="11" style="213" customWidth="1"/>
    <col min="15" max="15" width="12.7109375" style="213" customWidth="1"/>
    <col min="16" max="256" width="9" style="213"/>
    <col min="257" max="257" width="4.28515625" style="213" customWidth="1"/>
    <col min="258" max="258" width="17.28515625" style="213" customWidth="1"/>
    <col min="259" max="264" width="9" style="213"/>
    <col min="265" max="265" width="7.7109375" style="213" customWidth="1"/>
    <col min="266" max="267" width="9" style="213"/>
    <col min="268" max="268" width="25" style="213" customWidth="1"/>
    <col min="269" max="269" width="10.28515625" style="213" customWidth="1"/>
    <col min="270" max="270" width="11" style="213" customWidth="1"/>
    <col min="271" max="271" width="12.7109375" style="213" customWidth="1"/>
    <col min="272" max="512" width="9" style="213"/>
    <col min="513" max="513" width="4.28515625" style="213" customWidth="1"/>
    <col min="514" max="514" width="17.28515625" style="213" customWidth="1"/>
    <col min="515" max="520" width="9" style="213"/>
    <col min="521" max="521" width="7.7109375" style="213" customWidth="1"/>
    <col min="522" max="523" width="9" style="213"/>
    <col min="524" max="524" width="25" style="213" customWidth="1"/>
    <col min="525" max="525" width="10.28515625" style="213" customWidth="1"/>
    <col min="526" max="526" width="11" style="213" customWidth="1"/>
    <col min="527" max="527" width="12.7109375" style="213" customWidth="1"/>
    <col min="528" max="768" width="9" style="213"/>
    <col min="769" max="769" width="4.28515625" style="213" customWidth="1"/>
    <col min="770" max="770" width="17.28515625" style="213" customWidth="1"/>
    <col min="771" max="776" width="9" style="213"/>
    <col min="777" max="777" width="7.7109375" style="213" customWidth="1"/>
    <col min="778" max="779" width="9" style="213"/>
    <col min="780" max="780" width="25" style="213" customWidth="1"/>
    <col min="781" max="781" width="10.28515625" style="213" customWidth="1"/>
    <col min="782" max="782" width="11" style="213" customWidth="1"/>
    <col min="783" max="783" width="12.7109375" style="213" customWidth="1"/>
    <col min="784" max="1024" width="9" style="213"/>
    <col min="1025" max="1025" width="4.28515625" style="213" customWidth="1"/>
    <col min="1026" max="1026" width="17.28515625" style="213" customWidth="1"/>
    <col min="1027" max="1032" width="9" style="213"/>
    <col min="1033" max="1033" width="7.7109375" style="213" customWidth="1"/>
    <col min="1034" max="1035" width="9" style="213"/>
    <col min="1036" max="1036" width="25" style="213" customWidth="1"/>
    <col min="1037" max="1037" width="10.28515625" style="213" customWidth="1"/>
    <col min="1038" max="1038" width="11" style="213" customWidth="1"/>
    <col min="1039" max="1039" width="12.7109375" style="213" customWidth="1"/>
    <col min="1040" max="1280" width="9" style="213"/>
    <col min="1281" max="1281" width="4.28515625" style="213" customWidth="1"/>
    <col min="1282" max="1282" width="17.28515625" style="213" customWidth="1"/>
    <col min="1283" max="1288" width="9" style="213"/>
    <col min="1289" max="1289" width="7.7109375" style="213" customWidth="1"/>
    <col min="1290" max="1291" width="9" style="213"/>
    <col min="1292" max="1292" width="25" style="213" customWidth="1"/>
    <col min="1293" max="1293" width="10.28515625" style="213" customWidth="1"/>
    <col min="1294" max="1294" width="11" style="213" customWidth="1"/>
    <col min="1295" max="1295" width="12.7109375" style="213" customWidth="1"/>
    <col min="1296" max="1536" width="9" style="213"/>
    <col min="1537" max="1537" width="4.28515625" style="213" customWidth="1"/>
    <col min="1538" max="1538" width="17.28515625" style="213" customWidth="1"/>
    <col min="1539" max="1544" width="9" style="213"/>
    <col min="1545" max="1545" width="7.7109375" style="213" customWidth="1"/>
    <col min="1546" max="1547" width="9" style="213"/>
    <col min="1548" max="1548" width="25" style="213" customWidth="1"/>
    <col min="1549" max="1549" width="10.28515625" style="213" customWidth="1"/>
    <col min="1550" max="1550" width="11" style="213" customWidth="1"/>
    <col min="1551" max="1551" width="12.7109375" style="213" customWidth="1"/>
    <col min="1552" max="1792" width="9" style="213"/>
    <col min="1793" max="1793" width="4.28515625" style="213" customWidth="1"/>
    <col min="1794" max="1794" width="17.28515625" style="213" customWidth="1"/>
    <col min="1795" max="1800" width="9" style="213"/>
    <col min="1801" max="1801" width="7.7109375" style="213" customWidth="1"/>
    <col min="1802" max="1803" width="9" style="213"/>
    <col min="1804" max="1804" width="25" style="213" customWidth="1"/>
    <col min="1805" max="1805" width="10.28515625" style="213" customWidth="1"/>
    <col min="1806" max="1806" width="11" style="213" customWidth="1"/>
    <col min="1807" max="1807" width="12.7109375" style="213" customWidth="1"/>
    <col min="1808" max="2048" width="9" style="213"/>
    <col min="2049" max="2049" width="4.28515625" style="213" customWidth="1"/>
    <col min="2050" max="2050" width="17.28515625" style="213" customWidth="1"/>
    <col min="2051" max="2056" width="9" style="213"/>
    <col min="2057" max="2057" width="7.7109375" style="213" customWidth="1"/>
    <col min="2058" max="2059" width="9" style="213"/>
    <col min="2060" max="2060" width="25" style="213" customWidth="1"/>
    <col min="2061" max="2061" width="10.28515625" style="213" customWidth="1"/>
    <col min="2062" max="2062" width="11" style="213" customWidth="1"/>
    <col min="2063" max="2063" width="12.7109375" style="213" customWidth="1"/>
    <col min="2064" max="2304" width="9" style="213"/>
    <col min="2305" max="2305" width="4.28515625" style="213" customWidth="1"/>
    <col min="2306" max="2306" width="17.28515625" style="213" customWidth="1"/>
    <col min="2307" max="2312" width="9" style="213"/>
    <col min="2313" max="2313" width="7.7109375" style="213" customWidth="1"/>
    <col min="2314" max="2315" width="9" style="213"/>
    <col min="2316" max="2316" width="25" style="213" customWidth="1"/>
    <col min="2317" max="2317" width="10.28515625" style="213" customWidth="1"/>
    <col min="2318" max="2318" width="11" style="213" customWidth="1"/>
    <col min="2319" max="2319" width="12.7109375" style="213" customWidth="1"/>
    <col min="2320" max="2560" width="9" style="213"/>
    <col min="2561" max="2561" width="4.28515625" style="213" customWidth="1"/>
    <col min="2562" max="2562" width="17.28515625" style="213" customWidth="1"/>
    <col min="2563" max="2568" width="9" style="213"/>
    <col min="2569" max="2569" width="7.7109375" style="213" customWidth="1"/>
    <col min="2570" max="2571" width="9" style="213"/>
    <col min="2572" max="2572" width="25" style="213" customWidth="1"/>
    <col min="2573" max="2573" width="10.28515625" style="213" customWidth="1"/>
    <col min="2574" max="2574" width="11" style="213" customWidth="1"/>
    <col min="2575" max="2575" width="12.7109375" style="213" customWidth="1"/>
    <col min="2576" max="2816" width="9" style="213"/>
    <col min="2817" max="2817" width="4.28515625" style="213" customWidth="1"/>
    <col min="2818" max="2818" width="17.28515625" style="213" customWidth="1"/>
    <col min="2819" max="2824" width="9" style="213"/>
    <col min="2825" max="2825" width="7.7109375" style="213" customWidth="1"/>
    <col min="2826" max="2827" width="9" style="213"/>
    <col min="2828" max="2828" width="25" style="213" customWidth="1"/>
    <col min="2829" max="2829" width="10.28515625" style="213" customWidth="1"/>
    <col min="2830" max="2830" width="11" style="213" customWidth="1"/>
    <col min="2831" max="2831" width="12.7109375" style="213" customWidth="1"/>
    <col min="2832" max="3072" width="9" style="213"/>
    <col min="3073" max="3073" width="4.28515625" style="213" customWidth="1"/>
    <col min="3074" max="3074" width="17.28515625" style="213" customWidth="1"/>
    <col min="3075" max="3080" width="9" style="213"/>
    <col min="3081" max="3081" width="7.7109375" style="213" customWidth="1"/>
    <col min="3082" max="3083" width="9" style="213"/>
    <col min="3084" max="3084" width="25" style="213" customWidth="1"/>
    <col min="3085" max="3085" width="10.28515625" style="213" customWidth="1"/>
    <col min="3086" max="3086" width="11" style="213" customWidth="1"/>
    <col min="3087" max="3087" width="12.7109375" style="213" customWidth="1"/>
    <col min="3088" max="3328" width="9" style="213"/>
    <col min="3329" max="3329" width="4.28515625" style="213" customWidth="1"/>
    <col min="3330" max="3330" width="17.28515625" style="213" customWidth="1"/>
    <col min="3331" max="3336" width="9" style="213"/>
    <col min="3337" max="3337" width="7.7109375" style="213" customWidth="1"/>
    <col min="3338" max="3339" width="9" style="213"/>
    <col min="3340" max="3340" width="25" style="213" customWidth="1"/>
    <col min="3341" max="3341" width="10.28515625" style="213" customWidth="1"/>
    <col min="3342" max="3342" width="11" style="213" customWidth="1"/>
    <col min="3343" max="3343" width="12.7109375" style="213" customWidth="1"/>
    <col min="3344" max="3584" width="9" style="213"/>
    <col min="3585" max="3585" width="4.28515625" style="213" customWidth="1"/>
    <col min="3586" max="3586" width="17.28515625" style="213" customWidth="1"/>
    <col min="3587" max="3592" width="9" style="213"/>
    <col min="3593" max="3593" width="7.7109375" style="213" customWidth="1"/>
    <col min="3594" max="3595" width="9" style="213"/>
    <col min="3596" max="3596" width="25" style="213" customWidth="1"/>
    <col min="3597" max="3597" width="10.28515625" style="213" customWidth="1"/>
    <col min="3598" max="3598" width="11" style="213" customWidth="1"/>
    <col min="3599" max="3599" width="12.7109375" style="213" customWidth="1"/>
    <col min="3600" max="3840" width="9" style="213"/>
    <col min="3841" max="3841" width="4.28515625" style="213" customWidth="1"/>
    <col min="3842" max="3842" width="17.28515625" style="213" customWidth="1"/>
    <col min="3843" max="3848" width="9" style="213"/>
    <col min="3849" max="3849" width="7.7109375" style="213" customWidth="1"/>
    <col min="3850" max="3851" width="9" style="213"/>
    <col min="3852" max="3852" width="25" style="213" customWidth="1"/>
    <col min="3853" max="3853" width="10.28515625" style="213" customWidth="1"/>
    <col min="3854" max="3854" width="11" style="213" customWidth="1"/>
    <col min="3855" max="3855" width="12.7109375" style="213" customWidth="1"/>
    <col min="3856" max="4096" width="9" style="213"/>
    <col min="4097" max="4097" width="4.28515625" style="213" customWidth="1"/>
    <col min="4098" max="4098" width="17.28515625" style="213" customWidth="1"/>
    <col min="4099" max="4104" width="9" style="213"/>
    <col min="4105" max="4105" width="7.7109375" style="213" customWidth="1"/>
    <col min="4106" max="4107" width="9" style="213"/>
    <col min="4108" max="4108" width="25" style="213" customWidth="1"/>
    <col min="4109" max="4109" width="10.28515625" style="213" customWidth="1"/>
    <col min="4110" max="4110" width="11" style="213" customWidth="1"/>
    <col min="4111" max="4111" width="12.7109375" style="213" customWidth="1"/>
    <col min="4112" max="4352" width="9" style="213"/>
    <col min="4353" max="4353" width="4.28515625" style="213" customWidth="1"/>
    <col min="4354" max="4354" width="17.28515625" style="213" customWidth="1"/>
    <col min="4355" max="4360" width="9" style="213"/>
    <col min="4361" max="4361" width="7.7109375" style="213" customWidth="1"/>
    <col min="4362" max="4363" width="9" style="213"/>
    <col min="4364" max="4364" width="25" style="213" customWidth="1"/>
    <col min="4365" max="4365" width="10.28515625" style="213" customWidth="1"/>
    <col min="4366" max="4366" width="11" style="213" customWidth="1"/>
    <col min="4367" max="4367" width="12.7109375" style="213" customWidth="1"/>
    <col min="4368" max="4608" width="9" style="213"/>
    <col min="4609" max="4609" width="4.28515625" style="213" customWidth="1"/>
    <col min="4610" max="4610" width="17.28515625" style="213" customWidth="1"/>
    <col min="4611" max="4616" width="9" style="213"/>
    <col min="4617" max="4617" width="7.7109375" style="213" customWidth="1"/>
    <col min="4618" max="4619" width="9" style="213"/>
    <col min="4620" max="4620" width="25" style="213" customWidth="1"/>
    <col min="4621" max="4621" width="10.28515625" style="213" customWidth="1"/>
    <col min="4622" max="4622" width="11" style="213" customWidth="1"/>
    <col min="4623" max="4623" width="12.7109375" style="213" customWidth="1"/>
    <col min="4624" max="4864" width="9" style="213"/>
    <col min="4865" max="4865" width="4.28515625" style="213" customWidth="1"/>
    <col min="4866" max="4866" width="17.28515625" style="213" customWidth="1"/>
    <col min="4867" max="4872" width="9" style="213"/>
    <col min="4873" max="4873" width="7.7109375" style="213" customWidth="1"/>
    <col min="4874" max="4875" width="9" style="213"/>
    <col min="4876" max="4876" width="25" style="213" customWidth="1"/>
    <col min="4877" max="4877" width="10.28515625" style="213" customWidth="1"/>
    <col min="4878" max="4878" width="11" style="213" customWidth="1"/>
    <col min="4879" max="4879" width="12.7109375" style="213" customWidth="1"/>
    <col min="4880" max="5120" width="9" style="213"/>
    <col min="5121" max="5121" width="4.28515625" style="213" customWidth="1"/>
    <col min="5122" max="5122" width="17.28515625" style="213" customWidth="1"/>
    <col min="5123" max="5128" width="9" style="213"/>
    <col min="5129" max="5129" width="7.7109375" style="213" customWidth="1"/>
    <col min="5130" max="5131" width="9" style="213"/>
    <col min="5132" max="5132" width="25" style="213" customWidth="1"/>
    <col min="5133" max="5133" width="10.28515625" style="213" customWidth="1"/>
    <col min="5134" max="5134" width="11" style="213" customWidth="1"/>
    <col min="5135" max="5135" width="12.7109375" style="213" customWidth="1"/>
    <col min="5136" max="5376" width="9" style="213"/>
    <col min="5377" max="5377" width="4.28515625" style="213" customWidth="1"/>
    <col min="5378" max="5378" width="17.28515625" style="213" customWidth="1"/>
    <col min="5379" max="5384" width="9" style="213"/>
    <col min="5385" max="5385" width="7.7109375" style="213" customWidth="1"/>
    <col min="5386" max="5387" width="9" style="213"/>
    <col min="5388" max="5388" width="25" style="213" customWidth="1"/>
    <col min="5389" max="5389" width="10.28515625" style="213" customWidth="1"/>
    <col min="5390" max="5390" width="11" style="213" customWidth="1"/>
    <col min="5391" max="5391" width="12.7109375" style="213" customWidth="1"/>
    <col min="5392" max="5632" width="9" style="213"/>
    <col min="5633" max="5633" width="4.28515625" style="213" customWidth="1"/>
    <col min="5634" max="5634" width="17.28515625" style="213" customWidth="1"/>
    <col min="5635" max="5640" width="9" style="213"/>
    <col min="5641" max="5641" width="7.7109375" style="213" customWidth="1"/>
    <col min="5642" max="5643" width="9" style="213"/>
    <col min="5644" max="5644" width="25" style="213" customWidth="1"/>
    <col min="5645" max="5645" width="10.28515625" style="213" customWidth="1"/>
    <col min="5646" max="5646" width="11" style="213" customWidth="1"/>
    <col min="5647" max="5647" width="12.7109375" style="213" customWidth="1"/>
    <col min="5648" max="5888" width="9" style="213"/>
    <col min="5889" max="5889" width="4.28515625" style="213" customWidth="1"/>
    <col min="5890" max="5890" width="17.28515625" style="213" customWidth="1"/>
    <col min="5891" max="5896" width="9" style="213"/>
    <col min="5897" max="5897" width="7.7109375" style="213" customWidth="1"/>
    <col min="5898" max="5899" width="9" style="213"/>
    <col min="5900" max="5900" width="25" style="213" customWidth="1"/>
    <col min="5901" max="5901" width="10.28515625" style="213" customWidth="1"/>
    <col min="5902" max="5902" width="11" style="213" customWidth="1"/>
    <col min="5903" max="5903" width="12.7109375" style="213" customWidth="1"/>
    <col min="5904" max="6144" width="9" style="213"/>
    <col min="6145" max="6145" width="4.28515625" style="213" customWidth="1"/>
    <col min="6146" max="6146" width="17.28515625" style="213" customWidth="1"/>
    <col min="6147" max="6152" width="9" style="213"/>
    <col min="6153" max="6153" width="7.7109375" style="213" customWidth="1"/>
    <col min="6154" max="6155" width="9" style="213"/>
    <col min="6156" max="6156" width="25" style="213" customWidth="1"/>
    <col min="6157" max="6157" width="10.28515625" style="213" customWidth="1"/>
    <col min="6158" max="6158" width="11" style="213" customWidth="1"/>
    <col min="6159" max="6159" width="12.7109375" style="213" customWidth="1"/>
    <col min="6160" max="6400" width="9" style="213"/>
    <col min="6401" max="6401" width="4.28515625" style="213" customWidth="1"/>
    <col min="6402" max="6402" width="17.28515625" style="213" customWidth="1"/>
    <col min="6403" max="6408" width="9" style="213"/>
    <col min="6409" max="6409" width="7.7109375" style="213" customWidth="1"/>
    <col min="6410" max="6411" width="9" style="213"/>
    <col min="6412" max="6412" width="25" style="213" customWidth="1"/>
    <col min="6413" max="6413" width="10.28515625" style="213" customWidth="1"/>
    <col min="6414" max="6414" width="11" style="213" customWidth="1"/>
    <col min="6415" max="6415" width="12.7109375" style="213" customWidth="1"/>
    <col min="6416" max="6656" width="9" style="213"/>
    <col min="6657" max="6657" width="4.28515625" style="213" customWidth="1"/>
    <col min="6658" max="6658" width="17.28515625" style="213" customWidth="1"/>
    <col min="6659" max="6664" width="9" style="213"/>
    <col min="6665" max="6665" width="7.7109375" style="213" customWidth="1"/>
    <col min="6666" max="6667" width="9" style="213"/>
    <col min="6668" max="6668" width="25" style="213" customWidth="1"/>
    <col min="6669" max="6669" width="10.28515625" style="213" customWidth="1"/>
    <col min="6670" max="6670" width="11" style="213" customWidth="1"/>
    <col min="6671" max="6671" width="12.7109375" style="213" customWidth="1"/>
    <col min="6672" max="6912" width="9" style="213"/>
    <col min="6913" max="6913" width="4.28515625" style="213" customWidth="1"/>
    <col min="6914" max="6914" width="17.28515625" style="213" customWidth="1"/>
    <col min="6915" max="6920" width="9" style="213"/>
    <col min="6921" max="6921" width="7.7109375" style="213" customWidth="1"/>
    <col min="6922" max="6923" width="9" style="213"/>
    <col min="6924" max="6924" width="25" style="213" customWidth="1"/>
    <col min="6925" max="6925" width="10.28515625" style="213" customWidth="1"/>
    <col min="6926" max="6926" width="11" style="213" customWidth="1"/>
    <col min="6927" max="6927" width="12.7109375" style="213" customWidth="1"/>
    <col min="6928" max="7168" width="9" style="213"/>
    <col min="7169" max="7169" width="4.28515625" style="213" customWidth="1"/>
    <col min="7170" max="7170" width="17.28515625" style="213" customWidth="1"/>
    <col min="7171" max="7176" width="9" style="213"/>
    <col min="7177" max="7177" width="7.7109375" style="213" customWidth="1"/>
    <col min="7178" max="7179" width="9" style="213"/>
    <col min="7180" max="7180" width="25" style="213" customWidth="1"/>
    <col min="7181" max="7181" width="10.28515625" style="213" customWidth="1"/>
    <col min="7182" max="7182" width="11" style="213" customWidth="1"/>
    <col min="7183" max="7183" width="12.7109375" style="213" customWidth="1"/>
    <col min="7184" max="7424" width="9" style="213"/>
    <col min="7425" max="7425" width="4.28515625" style="213" customWidth="1"/>
    <col min="7426" max="7426" width="17.28515625" style="213" customWidth="1"/>
    <col min="7427" max="7432" width="9" style="213"/>
    <col min="7433" max="7433" width="7.7109375" style="213" customWidth="1"/>
    <col min="7434" max="7435" width="9" style="213"/>
    <col min="7436" max="7436" width="25" style="213" customWidth="1"/>
    <col min="7437" max="7437" width="10.28515625" style="213" customWidth="1"/>
    <col min="7438" max="7438" width="11" style="213" customWidth="1"/>
    <col min="7439" max="7439" width="12.7109375" style="213" customWidth="1"/>
    <col min="7440" max="7680" width="9" style="213"/>
    <col min="7681" max="7681" width="4.28515625" style="213" customWidth="1"/>
    <col min="7682" max="7682" width="17.28515625" style="213" customWidth="1"/>
    <col min="7683" max="7688" width="9" style="213"/>
    <col min="7689" max="7689" width="7.7109375" style="213" customWidth="1"/>
    <col min="7690" max="7691" width="9" style="213"/>
    <col min="7692" max="7692" width="25" style="213" customWidth="1"/>
    <col min="7693" max="7693" width="10.28515625" style="213" customWidth="1"/>
    <col min="7694" max="7694" width="11" style="213" customWidth="1"/>
    <col min="7695" max="7695" width="12.7109375" style="213" customWidth="1"/>
    <col min="7696" max="7936" width="9" style="213"/>
    <col min="7937" max="7937" width="4.28515625" style="213" customWidth="1"/>
    <col min="7938" max="7938" width="17.28515625" style="213" customWidth="1"/>
    <col min="7939" max="7944" width="9" style="213"/>
    <col min="7945" max="7945" width="7.7109375" style="213" customWidth="1"/>
    <col min="7946" max="7947" width="9" style="213"/>
    <col min="7948" max="7948" width="25" style="213" customWidth="1"/>
    <col min="7949" max="7949" width="10.28515625" style="213" customWidth="1"/>
    <col min="7950" max="7950" width="11" style="213" customWidth="1"/>
    <col min="7951" max="7951" width="12.7109375" style="213" customWidth="1"/>
    <col min="7952" max="8192" width="9" style="213"/>
    <col min="8193" max="8193" width="4.28515625" style="213" customWidth="1"/>
    <col min="8194" max="8194" width="17.28515625" style="213" customWidth="1"/>
    <col min="8195" max="8200" width="9" style="213"/>
    <col min="8201" max="8201" width="7.7109375" style="213" customWidth="1"/>
    <col min="8202" max="8203" width="9" style="213"/>
    <col min="8204" max="8204" width="25" style="213" customWidth="1"/>
    <col min="8205" max="8205" width="10.28515625" style="213" customWidth="1"/>
    <col min="8206" max="8206" width="11" style="213" customWidth="1"/>
    <col min="8207" max="8207" width="12.7109375" style="213" customWidth="1"/>
    <col min="8208" max="8448" width="9" style="213"/>
    <col min="8449" max="8449" width="4.28515625" style="213" customWidth="1"/>
    <col min="8450" max="8450" width="17.28515625" style="213" customWidth="1"/>
    <col min="8451" max="8456" width="9" style="213"/>
    <col min="8457" max="8457" width="7.7109375" style="213" customWidth="1"/>
    <col min="8458" max="8459" width="9" style="213"/>
    <col min="8460" max="8460" width="25" style="213" customWidth="1"/>
    <col min="8461" max="8461" width="10.28515625" style="213" customWidth="1"/>
    <col min="8462" max="8462" width="11" style="213" customWidth="1"/>
    <col min="8463" max="8463" width="12.7109375" style="213" customWidth="1"/>
    <col min="8464" max="8704" width="9" style="213"/>
    <col min="8705" max="8705" width="4.28515625" style="213" customWidth="1"/>
    <col min="8706" max="8706" width="17.28515625" style="213" customWidth="1"/>
    <col min="8707" max="8712" width="9" style="213"/>
    <col min="8713" max="8713" width="7.7109375" style="213" customWidth="1"/>
    <col min="8714" max="8715" width="9" style="213"/>
    <col min="8716" max="8716" width="25" style="213" customWidth="1"/>
    <col min="8717" max="8717" width="10.28515625" style="213" customWidth="1"/>
    <col min="8718" max="8718" width="11" style="213" customWidth="1"/>
    <col min="8719" max="8719" width="12.7109375" style="213" customWidth="1"/>
    <col min="8720" max="8960" width="9" style="213"/>
    <col min="8961" max="8961" width="4.28515625" style="213" customWidth="1"/>
    <col min="8962" max="8962" width="17.28515625" style="213" customWidth="1"/>
    <col min="8963" max="8968" width="9" style="213"/>
    <col min="8969" max="8969" width="7.7109375" style="213" customWidth="1"/>
    <col min="8970" max="8971" width="9" style="213"/>
    <col min="8972" max="8972" width="25" style="213" customWidth="1"/>
    <col min="8973" max="8973" width="10.28515625" style="213" customWidth="1"/>
    <col min="8974" max="8974" width="11" style="213" customWidth="1"/>
    <col min="8975" max="8975" width="12.7109375" style="213" customWidth="1"/>
    <col min="8976" max="9216" width="9" style="213"/>
    <col min="9217" max="9217" width="4.28515625" style="213" customWidth="1"/>
    <col min="9218" max="9218" width="17.28515625" style="213" customWidth="1"/>
    <col min="9219" max="9224" width="9" style="213"/>
    <col min="9225" max="9225" width="7.7109375" style="213" customWidth="1"/>
    <col min="9226" max="9227" width="9" style="213"/>
    <col min="9228" max="9228" width="25" style="213" customWidth="1"/>
    <col min="9229" max="9229" width="10.28515625" style="213" customWidth="1"/>
    <col min="9230" max="9230" width="11" style="213" customWidth="1"/>
    <col min="9231" max="9231" width="12.7109375" style="213" customWidth="1"/>
    <col min="9232" max="9472" width="9" style="213"/>
    <col min="9473" max="9473" width="4.28515625" style="213" customWidth="1"/>
    <col min="9474" max="9474" width="17.28515625" style="213" customWidth="1"/>
    <col min="9475" max="9480" width="9" style="213"/>
    <col min="9481" max="9481" width="7.7109375" style="213" customWidth="1"/>
    <col min="9482" max="9483" width="9" style="213"/>
    <col min="9484" max="9484" width="25" style="213" customWidth="1"/>
    <col min="9485" max="9485" width="10.28515625" style="213" customWidth="1"/>
    <col min="9486" max="9486" width="11" style="213" customWidth="1"/>
    <col min="9487" max="9487" width="12.7109375" style="213" customWidth="1"/>
    <col min="9488" max="9728" width="9" style="213"/>
    <col min="9729" max="9729" width="4.28515625" style="213" customWidth="1"/>
    <col min="9730" max="9730" width="17.28515625" style="213" customWidth="1"/>
    <col min="9731" max="9736" width="9" style="213"/>
    <col min="9737" max="9737" width="7.7109375" style="213" customWidth="1"/>
    <col min="9738" max="9739" width="9" style="213"/>
    <col min="9740" max="9740" width="25" style="213" customWidth="1"/>
    <col min="9741" max="9741" width="10.28515625" style="213" customWidth="1"/>
    <col min="9742" max="9742" width="11" style="213" customWidth="1"/>
    <col min="9743" max="9743" width="12.7109375" style="213" customWidth="1"/>
    <col min="9744" max="9984" width="9" style="213"/>
    <col min="9985" max="9985" width="4.28515625" style="213" customWidth="1"/>
    <col min="9986" max="9986" width="17.28515625" style="213" customWidth="1"/>
    <col min="9987" max="9992" width="9" style="213"/>
    <col min="9993" max="9993" width="7.7109375" style="213" customWidth="1"/>
    <col min="9994" max="9995" width="9" style="213"/>
    <col min="9996" max="9996" width="25" style="213" customWidth="1"/>
    <col min="9997" max="9997" width="10.28515625" style="213" customWidth="1"/>
    <col min="9998" max="9998" width="11" style="213" customWidth="1"/>
    <col min="9999" max="9999" width="12.7109375" style="213" customWidth="1"/>
    <col min="10000" max="10240" width="9" style="213"/>
    <col min="10241" max="10241" width="4.28515625" style="213" customWidth="1"/>
    <col min="10242" max="10242" width="17.28515625" style="213" customWidth="1"/>
    <col min="10243" max="10248" width="9" style="213"/>
    <col min="10249" max="10249" width="7.7109375" style="213" customWidth="1"/>
    <col min="10250" max="10251" width="9" style="213"/>
    <col min="10252" max="10252" width="25" style="213" customWidth="1"/>
    <col min="10253" max="10253" width="10.28515625" style="213" customWidth="1"/>
    <col min="10254" max="10254" width="11" style="213" customWidth="1"/>
    <col min="10255" max="10255" width="12.7109375" style="213" customWidth="1"/>
    <col min="10256" max="10496" width="9" style="213"/>
    <col min="10497" max="10497" width="4.28515625" style="213" customWidth="1"/>
    <col min="10498" max="10498" width="17.28515625" style="213" customWidth="1"/>
    <col min="10499" max="10504" width="9" style="213"/>
    <col min="10505" max="10505" width="7.7109375" style="213" customWidth="1"/>
    <col min="10506" max="10507" width="9" style="213"/>
    <col min="10508" max="10508" width="25" style="213" customWidth="1"/>
    <col min="10509" max="10509" width="10.28515625" style="213" customWidth="1"/>
    <col min="10510" max="10510" width="11" style="213" customWidth="1"/>
    <col min="10511" max="10511" width="12.7109375" style="213" customWidth="1"/>
    <col min="10512" max="10752" width="9" style="213"/>
    <col min="10753" max="10753" width="4.28515625" style="213" customWidth="1"/>
    <col min="10754" max="10754" width="17.28515625" style="213" customWidth="1"/>
    <col min="10755" max="10760" width="9" style="213"/>
    <col min="10761" max="10761" width="7.7109375" style="213" customWidth="1"/>
    <col min="10762" max="10763" width="9" style="213"/>
    <col min="10764" max="10764" width="25" style="213" customWidth="1"/>
    <col min="10765" max="10765" width="10.28515625" style="213" customWidth="1"/>
    <col min="10766" max="10766" width="11" style="213" customWidth="1"/>
    <col min="10767" max="10767" width="12.7109375" style="213" customWidth="1"/>
    <col min="10768" max="11008" width="9" style="213"/>
    <col min="11009" max="11009" width="4.28515625" style="213" customWidth="1"/>
    <col min="11010" max="11010" width="17.28515625" style="213" customWidth="1"/>
    <col min="11011" max="11016" width="9" style="213"/>
    <col min="11017" max="11017" width="7.7109375" style="213" customWidth="1"/>
    <col min="11018" max="11019" width="9" style="213"/>
    <col min="11020" max="11020" width="25" style="213" customWidth="1"/>
    <col min="11021" max="11021" width="10.28515625" style="213" customWidth="1"/>
    <col min="11022" max="11022" width="11" style="213" customWidth="1"/>
    <col min="11023" max="11023" width="12.7109375" style="213" customWidth="1"/>
    <col min="11024" max="11264" width="9" style="213"/>
    <col min="11265" max="11265" width="4.28515625" style="213" customWidth="1"/>
    <col min="11266" max="11266" width="17.28515625" style="213" customWidth="1"/>
    <col min="11267" max="11272" width="9" style="213"/>
    <col min="11273" max="11273" width="7.7109375" style="213" customWidth="1"/>
    <col min="11274" max="11275" width="9" style="213"/>
    <col min="11276" max="11276" width="25" style="213" customWidth="1"/>
    <col min="11277" max="11277" width="10.28515625" style="213" customWidth="1"/>
    <col min="11278" max="11278" width="11" style="213" customWidth="1"/>
    <col min="11279" max="11279" width="12.7109375" style="213" customWidth="1"/>
    <col min="11280" max="11520" width="9" style="213"/>
    <col min="11521" max="11521" width="4.28515625" style="213" customWidth="1"/>
    <col min="11522" max="11522" width="17.28515625" style="213" customWidth="1"/>
    <col min="11523" max="11528" width="9" style="213"/>
    <col min="11529" max="11529" width="7.7109375" style="213" customWidth="1"/>
    <col min="11530" max="11531" width="9" style="213"/>
    <col min="11532" max="11532" width="25" style="213" customWidth="1"/>
    <col min="11533" max="11533" width="10.28515625" style="213" customWidth="1"/>
    <col min="11534" max="11534" width="11" style="213" customWidth="1"/>
    <col min="11535" max="11535" width="12.7109375" style="213" customWidth="1"/>
    <col min="11536" max="11776" width="9" style="213"/>
    <col min="11777" max="11777" width="4.28515625" style="213" customWidth="1"/>
    <col min="11778" max="11778" width="17.28515625" style="213" customWidth="1"/>
    <col min="11779" max="11784" width="9" style="213"/>
    <col min="11785" max="11785" width="7.7109375" style="213" customWidth="1"/>
    <col min="11786" max="11787" width="9" style="213"/>
    <col min="11788" max="11788" width="25" style="213" customWidth="1"/>
    <col min="11789" max="11789" width="10.28515625" style="213" customWidth="1"/>
    <col min="11790" max="11790" width="11" style="213" customWidth="1"/>
    <col min="11791" max="11791" width="12.7109375" style="213" customWidth="1"/>
    <col min="11792" max="12032" width="9" style="213"/>
    <col min="12033" max="12033" width="4.28515625" style="213" customWidth="1"/>
    <col min="12034" max="12034" width="17.28515625" style="213" customWidth="1"/>
    <col min="12035" max="12040" width="9" style="213"/>
    <col min="12041" max="12041" width="7.7109375" style="213" customWidth="1"/>
    <col min="12042" max="12043" width="9" style="213"/>
    <col min="12044" max="12044" width="25" style="213" customWidth="1"/>
    <col min="12045" max="12045" width="10.28515625" style="213" customWidth="1"/>
    <col min="12046" max="12046" width="11" style="213" customWidth="1"/>
    <col min="12047" max="12047" width="12.7109375" style="213" customWidth="1"/>
    <col min="12048" max="12288" width="9" style="213"/>
    <col min="12289" max="12289" width="4.28515625" style="213" customWidth="1"/>
    <col min="12290" max="12290" width="17.28515625" style="213" customWidth="1"/>
    <col min="12291" max="12296" width="9" style="213"/>
    <col min="12297" max="12297" width="7.7109375" style="213" customWidth="1"/>
    <col min="12298" max="12299" width="9" style="213"/>
    <col min="12300" max="12300" width="25" style="213" customWidth="1"/>
    <col min="12301" max="12301" width="10.28515625" style="213" customWidth="1"/>
    <col min="12302" max="12302" width="11" style="213" customWidth="1"/>
    <col min="12303" max="12303" width="12.7109375" style="213" customWidth="1"/>
    <col min="12304" max="12544" width="9" style="213"/>
    <col min="12545" max="12545" width="4.28515625" style="213" customWidth="1"/>
    <col min="12546" max="12546" width="17.28515625" style="213" customWidth="1"/>
    <col min="12547" max="12552" width="9" style="213"/>
    <col min="12553" max="12553" width="7.7109375" style="213" customWidth="1"/>
    <col min="12554" max="12555" width="9" style="213"/>
    <col min="12556" max="12556" width="25" style="213" customWidth="1"/>
    <col min="12557" max="12557" width="10.28515625" style="213" customWidth="1"/>
    <col min="12558" max="12558" width="11" style="213" customWidth="1"/>
    <col min="12559" max="12559" width="12.7109375" style="213" customWidth="1"/>
    <col min="12560" max="12800" width="9" style="213"/>
    <col min="12801" max="12801" width="4.28515625" style="213" customWidth="1"/>
    <col min="12802" max="12802" width="17.28515625" style="213" customWidth="1"/>
    <col min="12803" max="12808" width="9" style="213"/>
    <col min="12809" max="12809" width="7.7109375" style="213" customWidth="1"/>
    <col min="12810" max="12811" width="9" style="213"/>
    <col min="12812" max="12812" width="25" style="213" customWidth="1"/>
    <col min="12813" max="12813" width="10.28515625" style="213" customWidth="1"/>
    <col min="12814" max="12814" width="11" style="213" customWidth="1"/>
    <col min="12815" max="12815" width="12.7109375" style="213" customWidth="1"/>
    <col min="12816" max="13056" width="9" style="213"/>
    <col min="13057" max="13057" width="4.28515625" style="213" customWidth="1"/>
    <col min="13058" max="13058" width="17.28515625" style="213" customWidth="1"/>
    <col min="13059" max="13064" width="9" style="213"/>
    <col min="13065" max="13065" width="7.7109375" style="213" customWidth="1"/>
    <col min="13066" max="13067" width="9" style="213"/>
    <col min="13068" max="13068" width="25" style="213" customWidth="1"/>
    <col min="13069" max="13069" width="10.28515625" style="213" customWidth="1"/>
    <col min="13070" max="13070" width="11" style="213" customWidth="1"/>
    <col min="13071" max="13071" width="12.7109375" style="213" customWidth="1"/>
    <col min="13072" max="13312" width="9" style="213"/>
    <col min="13313" max="13313" width="4.28515625" style="213" customWidth="1"/>
    <col min="13314" max="13314" width="17.28515625" style="213" customWidth="1"/>
    <col min="13315" max="13320" width="9" style="213"/>
    <col min="13321" max="13321" width="7.7109375" style="213" customWidth="1"/>
    <col min="13322" max="13323" width="9" style="213"/>
    <col min="13324" max="13324" width="25" style="213" customWidth="1"/>
    <col min="13325" max="13325" width="10.28515625" style="213" customWidth="1"/>
    <col min="13326" max="13326" width="11" style="213" customWidth="1"/>
    <col min="13327" max="13327" width="12.7109375" style="213" customWidth="1"/>
    <col min="13328" max="13568" width="9" style="213"/>
    <col min="13569" max="13569" width="4.28515625" style="213" customWidth="1"/>
    <col min="13570" max="13570" width="17.28515625" style="213" customWidth="1"/>
    <col min="13571" max="13576" width="9" style="213"/>
    <col min="13577" max="13577" width="7.7109375" style="213" customWidth="1"/>
    <col min="13578" max="13579" width="9" style="213"/>
    <col min="13580" max="13580" width="25" style="213" customWidth="1"/>
    <col min="13581" max="13581" width="10.28515625" style="213" customWidth="1"/>
    <col min="13582" max="13582" width="11" style="213" customWidth="1"/>
    <col min="13583" max="13583" width="12.7109375" style="213" customWidth="1"/>
    <col min="13584" max="13824" width="9" style="213"/>
    <col min="13825" max="13825" width="4.28515625" style="213" customWidth="1"/>
    <col min="13826" max="13826" width="17.28515625" style="213" customWidth="1"/>
    <col min="13827" max="13832" width="9" style="213"/>
    <col min="13833" max="13833" width="7.7109375" style="213" customWidth="1"/>
    <col min="13834" max="13835" width="9" style="213"/>
    <col min="13836" max="13836" width="25" style="213" customWidth="1"/>
    <col min="13837" max="13837" width="10.28515625" style="213" customWidth="1"/>
    <col min="13838" max="13838" width="11" style="213" customWidth="1"/>
    <col min="13839" max="13839" width="12.7109375" style="213" customWidth="1"/>
    <col min="13840" max="14080" width="9" style="213"/>
    <col min="14081" max="14081" width="4.28515625" style="213" customWidth="1"/>
    <col min="14082" max="14082" width="17.28515625" style="213" customWidth="1"/>
    <col min="14083" max="14088" width="9" style="213"/>
    <col min="14089" max="14089" width="7.7109375" style="213" customWidth="1"/>
    <col min="14090" max="14091" width="9" style="213"/>
    <col min="14092" max="14092" width="25" style="213" customWidth="1"/>
    <col min="14093" max="14093" width="10.28515625" style="213" customWidth="1"/>
    <col min="14094" max="14094" width="11" style="213" customWidth="1"/>
    <col min="14095" max="14095" width="12.7109375" style="213" customWidth="1"/>
    <col min="14096" max="14336" width="9" style="213"/>
    <col min="14337" max="14337" width="4.28515625" style="213" customWidth="1"/>
    <col min="14338" max="14338" width="17.28515625" style="213" customWidth="1"/>
    <col min="14339" max="14344" width="9" style="213"/>
    <col min="14345" max="14345" width="7.7109375" style="213" customWidth="1"/>
    <col min="14346" max="14347" width="9" style="213"/>
    <col min="14348" max="14348" width="25" style="213" customWidth="1"/>
    <col min="14349" max="14349" width="10.28515625" style="213" customWidth="1"/>
    <col min="14350" max="14350" width="11" style="213" customWidth="1"/>
    <col min="14351" max="14351" width="12.7109375" style="213" customWidth="1"/>
    <col min="14352" max="14592" width="9" style="213"/>
    <col min="14593" max="14593" width="4.28515625" style="213" customWidth="1"/>
    <col min="14594" max="14594" width="17.28515625" style="213" customWidth="1"/>
    <col min="14595" max="14600" width="9" style="213"/>
    <col min="14601" max="14601" width="7.7109375" style="213" customWidth="1"/>
    <col min="14602" max="14603" width="9" style="213"/>
    <col min="14604" max="14604" width="25" style="213" customWidth="1"/>
    <col min="14605" max="14605" width="10.28515625" style="213" customWidth="1"/>
    <col min="14606" max="14606" width="11" style="213" customWidth="1"/>
    <col min="14607" max="14607" width="12.7109375" style="213" customWidth="1"/>
    <col min="14608" max="14848" width="9" style="213"/>
    <col min="14849" max="14849" width="4.28515625" style="213" customWidth="1"/>
    <col min="14850" max="14850" width="17.28515625" style="213" customWidth="1"/>
    <col min="14851" max="14856" width="9" style="213"/>
    <col min="14857" max="14857" width="7.7109375" style="213" customWidth="1"/>
    <col min="14858" max="14859" width="9" style="213"/>
    <col min="14860" max="14860" width="25" style="213" customWidth="1"/>
    <col min="14861" max="14861" width="10.28515625" style="213" customWidth="1"/>
    <col min="14862" max="14862" width="11" style="213" customWidth="1"/>
    <col min="14863" max="14863" width="12.7109375" style="213" customWidth="1"/>
    <col min="14864" max="15104" width="9" style="213"/>
    <col min="15105" max="15105" width="4.28515625" style="213" customWidth="1"/>
    <col min="15106" max="15106" width="17.28515625" style="213" customWidth="1"/>
    <col min="15107" max="15112" width="9" style="213"/>
    <col min="15113" max="15113" width="7.7109375" style="213" customWidth="1"/>
    <col min="15114" max="15115" width="9" style="213"/>
    <col min="15116" max="15116" width="25" style="213" customWidth="1"/>
    <col min="15117" max="15117" width="10.28515625" style="213" customWidth="1"/>
    <col min="15118" max="15118" width="11" style="213" customWidth="1"/>
    <col min="15119" max="15119" width="12.7109375" style="213" customWidth="1"/>
    <col min="15120" max="15360" width="9" style="213"/>
    <col min="15361" max="15361" width="4.28515625" style="213" customWidth="1"/>
    <col min="15362" max="15362" width="17.28515625" style="213" customWidth="1"/>
    <col min="15363" max="15368" width="9" style="213"/>
    <col min="15369" max="15369" width="7.7109375" style="213" customWidth="1"/>
    <col min="15370" max="15371" width="9" style="213"/>
    <col min="15372" max="15372" width="25" style="213" customWidth="1"/>
    <col min="15373" max="15373" width="10.28515625" style="213" customWidth="1"/>
    <col min="15374" max="15374" width="11" style="213" customWidth="1"/>
    <col min="15375" max="15375" width="12.7109375" style="213" customWidth="1"/>
    <col min="15376" max="15616" width="9" style="213"/>
    <col min="15617" max="15617" width="4.28515625" style="213" customWidth="1"/>
    <col min="15618" max="15618" width="17.28515625" style="213" customWidth="1"/>
    <col min="15619" max="15624" width="9" style="213"/>
    <col min="15625" max="15625" width="7.7109375" style="213" customWidth="1"/>
    <col min="15626" max="15627" width="9" style="213"/>
    <col min="15628" max="15628" width="25" style="213" customWidth="1"/>
    <col min="15629" max="15629" width="10.28515625" style="213" customWidth="1"/>
    <col min="15630" max="15630" width="11" style="213" customWidth="1"/>
    <col min="15631" max="15631" width="12.7109375" style="213" customWidth="1"/>
    <col min="15632" max="15872" width="9" style="213"/>
    <col min="15873" max="15873" width="4.28515625" style="213" customWidth="1"/>
    <col min="15874" max="15874" width="17.28515625" style="213" customWidth="1"/>
    <col min="15875" max="15880" width="9" style="213"/>
    <col min="15881" max="15881" width="7.7109375" style="213" customWidth="1"/>
    <col min="15882" max="15883" width="9" style="213"/>
    <col min="15884" max="15884" width="25" style="213" customWidth="1"/>
    <col min="15885" max="15885" width="10.28515625" style="213" customWidth="1"/>
    <col min="15886" max="15886" width="11" style="213" customWidth="1"/>
    <col min="15887" max="15887" width="12.7109375" style="213" customWidth="1"/>
    <col min="15888" max="16128" width="9" style="213"/>
    <col min="16129" max="16129" width="4.28515625" style="213" customWidth="1"/>
    <col min="16130" max="16130" width="17.28515625" style="213" customWidth="1"/>
    <col min="16131" max="16136" width="9" style="213"/>
    <col min="16137" max="16137" width="7.7109375" style="213" customWidth="1"/>
    <col min="16138" max="16139" width="9" style="213"/>
    <col min="16140" max="16140" width="25" style="213" customWidth="1"/>
    <col min="16141" max="16141" width="10.28515625" style="213" customWidth="1"/>
    <col min="16142" max="16142" width="11" style="213" customWidth="1"/>
    <col min="16143" max="16143" width="12.7109375" style="213" customWidth="1"/>
    <col min="16144" max="16384" width="9" style="213"/>
  </cols>
  <sheetData>
    <row r="1" spans="1:16" x14ac:dyDescent="0.2">
      <c r="A1" s="673" t="s">
        <v>606</v>
      </c>
      <c r="B1" s="673"/>
      <c r="C1" s="673"/>
      <c r="D1" s="673"/>
      <c r="E1" s="673"/>
      <c r="F1" s="673"/>
      <c r="G1" s="673"/>
      <c r="H1" s="673"/>
      <c r="I1" s="673"/>
      <c r="L1" s="670" t="s">
        <v>306</v>
      </c>
      <c r="M1" s="670"/>
      <c r="N1" s="670"/>
      <c r="O1" s="670"/>
    </row>
    <row r="2" spans="1:16" x14ac:dyDescent="0.2">
      <c r="A2" s="666" t="s">
        <v>605</v>
      </c>
      <c r="B2" s="666"/>
      <c r="C2" s="666"/>
      <c r="D2" s="666"/>
      <c r="E2" s="666"/>
      <c r="F2" s="666"/>
      <c r="G2" s="666"/>
      <c r="H2" s="666"/>
      <c r="I2" s="666"/>
      <c r="L2" s="665" t="s">
        <v>307</v>
      </c>
      <c r="M2" s="665"/>
      <c r="N2" s="665"/>
      <c r="O2" s="665"/>
      <c r="P2" s="526"/>
    </row>
    <row r="3" spans="1:16" x14ac:dyDescent="0.2">
      <c r="A3" s="666" t="s">
        <v>609</v>
      </c>
      <c r="B3" s="666"/>
      <c r="C3" s="666"/>
      <c r="D3" s="666"/>
      <c r="E3" s="666"/>
      <c r="F3" s="666"/>
      <c r="G3" s="666"/>
      <c r="H3" s="666"/>
      <c r="I3" s="666"/>
      <c r="L3" s="671" t="str">
        <f>A4</f>
        <v>TAHUN 2025</v>
      </c>
      <c r="M3" s="671"/>
      <c r="N3" s="671"/>
      <c r="O3" s="671"/>
    </row>
    <row r="4" spans="1:16" x14ac:dyDescent="0.2">
      <c r="A4" s="666" t="str">
        <f>Produksi!A3</f>
        <v>TAHUN 2025</v>
      </c>
      <c r="B4" s="666"/>
      <c r="C4" s="666"/>
      <c r="D4" s="666"/>
      <c r="E4" s="666"/>
      <c r="F4" s="666"/>
      <c r="G4" s="666"/>
      <c r="H4" s="666"/>
      <c r="I4" s="666"/>
      <c r="K4" s="513"/>
      <c r="L4" s="667" t="s">
        <v>308</v>
      </c>
      <c r="M4" s="514" t="s">
        <v>329</v>
      </c>
      <c r="N4" s="514" t="s">
        <v>611</v>
      </c>
      <c r="O4" s="514" t="s">
        <v>613</v>
      </c>
      <c r="P4" s="513"/>
    </row>
    <row r="5" spans="1:16" ht="15.6" customHeight="1" x14ac:dyDescent="0.2">
      <c r="A5" s="483" t="s">
        <v>327</v>
      </c>
      <c r="B5" s="484" t="s">
        <v>328</v>
      </c>
      <c r="C5" s="484" t="s">
        <v>329</v>
      </c>
      <c r="D5" s="484" t="s">
        <v>330</v>
      </c>
      <c r="E5" s="484" t="s">
        <v>331</v>
      </c>
      <c r="F5" s="484" t="s">
        <v>332</v>
      </c>
      <c r="G5" s="507" t="s">
        <v>333</v>
      </c>
      <c r="H5" s="484" t="s">
        <v>334</v>
      </c>
      <c r="I5" s="484" t="s">
        <v>335</v>
      </c>
      <c r="K5" s="513"/>
      <c r="L5" s="668"/>
      <c r="M5" s="515" t="s">
        <v>610</v>
      </c>
      <c r="N5" s="515" t="s">
        <v>612</v>
      </c>
      <c r="O5" s="515" t="s">
        <v>612</v>
      </c>
      <c r="P5" s="513"/>
    </row>
    <row r="6" spans="1:16" x14ac:dyDescent="0.2">
      <c r="A6" s="485"/>
      <c r="B6" s="486" t="s">
        <v>336</v>
      </c>
      <c r="C6" s="486" t="s">
        <v>337</v>
      </c>
      <c r="D6" s="486"/>
      <c r="E6" s="486"/>
      <c r="F6" s="486"/>
      <c r="G6" s="508"/>
      <c r="H6" s="486"/>
      <c r="I6" s="486"/>
      <c r="K6" s="513"/>
      <c r="L6" s="516" t="s">
        <v>312</v>
      </c>
      <c r="M6" s="516" t="s">
        <v>313</v>
      </c>
      <c r="N6" s="516" t="s">
        <v>314</v>
      </c>
      <c r="O6" s="516" t="s">
        <v>315</v>
      </c>
      <c r="P6" s="513"/>
    </row>
    <row r="7" spans="1:16" ht="13.15" customHeight="1" x14ac:dyDescent="0.2">
      <c r="A7" s="487" t="s">
        <v>338</v>
      </c>
      <c r="B7" s="487" t="s">
        <v>316</v>
      </c>
      <c r="C7" s="488">
        <f>'Tabel NBM'!$Q$12</f>
        <v>905.92834762249072</v>
      </c>
      <c r="D7" s="489">
        <f>(C7/2400)*100</f>
        <v>37.747014484270444</v>
      </c>
      <c r="E7" s="489">
        <v>0.5</v>
      </c>
      <c r="F7" s="490">
        <f>D7*E7</f>
        <v>18.873507242135222</v>
      </c>
      <c r="G7" s="511">
        <f>IF(F7&gt;=H7,H7,F7)</f>
        <v>18.873507242135222</v>
      </c>
      <c r="H7" s="489">
        <v>25</v>
      </c>
      <c r="I7" s="491"/>
      <c r="K7" s="513"/>
      <c r="L7" s="517"/>
      <c r="M7" s="518"/>
      <c r="N7" s="518"/>
      <c r="O7" s="518"/>
      <c r="P7" s="513"/>
    </row>
    <row r="8" spans="1:16" ht="13.15" customHeight="1" x14ac:dyDescent="0.2">
      <c r="A8" s="487" t="s">
        <v>339</v>
      </c>
      <c r="B8" s="487" t="s">
        <v>340</v>
      </c>
      <c r="C8" s="488">
        <f>'Tabel NBM'!$Q$18+'Tabel NBM'!$Q$84</f>
        <v>21.650410472399798</v>
      </c>
      <c r="D8" s="489">
        <f t="shared" ref="D8:D15" si="0">(C8/2400)*100</f>
        <v>0.90210043634999171</v>
      </c>
      <c r="E8" s="489">
        <v>0.5</v>
      </c>
      <c r="F8" s="490">
        <f t="shared" ref="F8:F14" si="1">D8*E8</f>
        <v>0.45105021817499585</v>
      </c>
      <c r="G8" s="511">
        <f t="shared" ref="G8:G14" si="2">IF(F8&gt;=H8,H8,F8)</f>
        <v>0.45105021817499585</v>
      </c>
      <c r="H8" s="489">
        <v>2.5</v>
      </c>
      <c r="I8" s="491"/>
      <c r="K8" s="513"/>
      <c r="L8" s="518" t="s">
        <v>316</v>
      </c>
      <c r="M8" s="519">
        <f>'Tabel NBM'!Q12</f>
        <v>905.92834762249072</v>
      </c>
      <c r="N8" s="519">
        <f>'Tabel NBM'!R12</f>
        <v>21.562939505404316</v>
      </c>
      <c r="O8" s="519">
        <f>'Tabel NBM'!S12</f>
        <v>5.0466765720898774</v>
      </c>
      <c r="P8" s="513"/>
    </row>
    <row r="9" spans="1:16" x14ac:dyDescent="0.2">
      <c r="A9" s="487" t="s">
        <v>341</v>
      </c>
      <c r="B9" s="487" t="s">
        <v>342</v>
      </c>
      <c r="C9" s="488">
        <f>'Tabel NBM'!$Q$112+'Tabel NBM'!$Q$125+'Tabel NBM'!$Q$131+'Tabel NBM'!$Q$135-'Tabel NBM'!$Q$157-'Tabel NBM'!$Q$123</f>
        <v>586.16113118060639</v>
      </c>
      <c r="D9" s="489">
        <f>(C9/2400)*100</f>
        <v>24.4233804658586</v>
      </c>
      <c r="E9" s="489">
        <v>2</v>
      </c>
      <c r="F9" s="490">
        <f t="shared" si="1"/>
        <v>48.846760931717199</v>
      </c>
      <c r="G9" s="511">
        <f t="shared" si="2"/>
        <v>24</v>
      </c>
      <c r="H9" s="489">
        <v>24</v>
      </c>
      <c r="I9" s="491"/>
      <c r="K9" s="513"/>
      <c r="L9" s="518" t="s">
        <v>317</v>
      </c>
      <c r="M9" s="519">
        <f>'Tabel NBM'!Q18</f>
        <v>13.318154516031345</v>
      </c>
      <c r="N9" s="519">
        <f>'Tabel NBM'!R18</f>
        <v>8.6481522831372379E-2</v>
      </c>
      <c r="O9" s="519">
        <f>'Tabel NBM'!S18</f>
        <v>2.5944456849411712E-2</v>
      </c>
      <c r="P9" s="513"/>
    </row>
    <row r="10" spans="1:16" x14ac:dyDescent="0.2">
      <c r="A10" s="487" t="s">
        <v>343</v>
      </c>
      <c r="B10" s="487" t="s">
        <v>326</v>
      </c>
      <c r="C10" s="488">
        <f>'Tabel NBM'!$Q$123+'Tabel NBM'!$Q$172</f>
        <v>603.31573268299064</v>
      </c>
      <c r="D10" s="489">
        <f t="shared" si="0"/>
        <v>25.138155528457943</v>
      </c>
      <c r="E10" s="489">
        <v>0.5</v>
      </c>
      <c r="F10" s="490">
        <f t="shared" si="1"/>
        <v>12.569077764228972</v>
      </c>
      <c r="G10" s="511">
        <f t="shared" si="2"/>
        <v>5</v>
      </c>
      <c r="H10" s="489">
        <v>5</v>
      </c>
      <c r="I10" s="491"/>
      <c r="K10" s="513"/>
      <c r="L10" s="518" t="s">
        <v>318</v>
      </c>
      <c r="M10" s="519">
        <f>'Tabel NBM'!Q24</f>
        <v>112.11010238981341</v>
      </c>
      <c r="N10" s="519">
        <f>'Tabel NBM'!R24</f>
        <v>0</v>
      </c>
      <c r="O10" s="519">
        <f>'Tabel NBM'!S24</f>
        <v>0</v>
      </c>
      <c r="P10" s="513"/>
    </row>
    <row r="11" spans="1:16" x14ac:dyDescent="0.2">
      <c r="A11" s="487" t="s">
        <v>345</v>
      </c>
      <c r="B11" s="487" t="s">
        <v>346</v>
      </c>
      <c r="C11" s="488">
        <f>'Tabel NBM'!$Q$33</f>
        <v>0</v>
      </c>
      <c r="D11" s="489">
        <f t="shared" si="0"/>
        <v>0</v>
      </c>
      <c r="E11" s="489">
        <v>0.5</v>
      </c>
      <c r="F11" s="490">
        <f t="shared" si="1"/>
        <v>0</v>
      </c>
      <c r="G11" s="511">
        <f t="shared" si="2"/>
        <v>0</v>
      </c>
      <c r="H11" s="489">
        <v>1</v>
      </c>
      <c r="I11" s="491"/>
      <c r="K11" s="513"/>
      <c r="L11" s="518" t="s">
        <v>319</v>
      </c>
      <c r="M11" s="519">
        <f>'Tabel NBM'!Q29</f>
        <v>67.687084737046533</v>
      </c>
      <c r="N11" s="519">
        <f>'Tabel NBM'!R29</f>
        <v>7.1540803103855986</v>
      </c>
      <c r="O11" s="519">
        <f>'Tabel NBM'!S29</f>
        <v>2.9817919096008012</v>
      </c>
      <c r="P11" s="513"/>
    </row>
    <row r="12" spans="1:16" x14ac:dyDescent="0.2">
      <c r="A12" s="487" t="s">
        <v>348</v>
      </c>
      <c r="B12" s="487" t="s">
        <v>349</v>
      </c>
      <c r="C12" s="488">
        <f>'Tabel NBM'!$Q$29-'Tabel NBM'!$Q$33+'Tabel NBM'!$Q$82</f>
        <v>71.351939801448395</v>
      </c>
      <c r="D12" s="489">
        <f t="shared" si="0"/>
        <v>2.9729974917270163</v>
      </c>
      <c r="E12" s="489">
        <v>2</v>
      </c>
      <c r="F12" s="490">
        <f t="shared" si="1"/>
        <v>5.9459949834540327</v>
      </c>
      <c r="G12" s="511">
        <f t="shared" si="2"/>
        <v>5.9459949834540327</v>
      </c>
      <c r="H12" s="489">
        <v>10</v>
      </c>
      <c r="I12" s="491"/>
      <c r="K12" s="513"/>
      <c r="L12" s="518" t="s">
        <v>320</v>
      </c>
      <c r="M12" s="519">
        <f>'Tabel NBM'!Q35</f>
        <v>77.705698996641146</v>
      </c>
      <c r="N12" s="519">
        <f>'Tabel NBM'!R35</f>
        <v>1.1021330266155132</v>
      </c>
      <c r="O12" s="519">
        <f>'Tabel NBM'!S35</f>
        <v>0.72488447871953943</v>
      </c>
      <c r="P12" s="513"/>
    </row>
    <row r="13" spans="1:16" x14ac:dyDescent="0.2">
      <c r="A13" s="487" t="s">
        <v>350</v>
      </c>
      <c r="B13" s="487" t="s">
        <v>318</v>
      </c>
      <c r="C13" s="488">
        <f>'Tabel NBM'!$Q$24</f>
        <v>112.11010238981341</v>
      </c>
      <c r="D13" s="489">
        <f t="shared" si="0"/>
        <v>4.671254266242225</v>
      </c>
      <c r="E13" s="489">
        <v>0.5</v>
      </c>
      <c r="F13" s="490">
        <f t="shared" si="1"/>
        <v>2.3356271331211125</v>
      </c>
      <c r="G13" s="511">
        <f t="shared" si="2"/>
        <v>2.3356271331211125</v>
      </c>
      <c r="H13" s="489">
        <v>2.5</v>
      </c>
      <c r="I13" s="491"/>
      <c r="K13" s="513"/>
      <c r="L13" s="518" t="s">
        <v>321</v>
      </c>
      <c r="M13" s="519">
        <f>'Tabel NBM'!Q77</f>
        <v>56.333627526766335</v>
      </c>
      <c r="N13" s="519">
        <f>'Tabel NBM'!R77</f>
        <v>2.5213572524429226</v>
      </c>
      <c r="O13" s="519">
        <f>'Tabel NBM'!S77</f>
        <v>0.54068180694563062</v>
      </c>
      <c r="P13" s="513"/>
    </row>
    <row r="14" spans="1:16" x14ac:dyDescent="0.2">
      <c r="A14" s="487" t="s">
        <v>351</v>
      </c>
      <c r="B14" s="487" t="s">
        <v>352</v>
      </c>
      <c r="C14" s="488">
        <f>'Tabel NBM'!$Q$35+'Tabel NBM'!$Q$77-'Tabel NBM'!$Q$84-'Tabel NBM'!$Q$82+'Tabel NBM'!$Q$157</f>
        <v>122.04221550263716</v>
      </c>
      <c r="D14" s="489">
        <f t="shared" si="0"/>
        <v>5.0850923126098815</v>
      </c>
      <c r="E14" s="489">
        <v>5</v>
      </c>
      <c r="F14" s="490">
        <f t="shared" si="1"/>
        <v>25.425461563049407</v>
      </c>
      <c r="G14" s="511">
        <f t="shared" si="2"/>
        <v>25.425461563049407</v>
      </c>
      <c r="H14" s="489">
        <v>30</v>
      </c>
      <c r="I14" s="491"/>
      <c r="K14" s="513"/>
      <c r="L14" s="518" t="s">
        <v>322</v>
      </c>
      <c r="M14" s="519">
        <f>'Tabel NBM'!Q112</f>
        <v>260.41194716837475</v>
      </c>
      <c r="N14" s="519">
        <f>'Tabel NBM'!R112</f>
        <v>17.975352711075583</v>
      </c>
      <c r="O14" s="519">
        <f>'Tabel NBM'!S112</f>
        <v>20.404220209519895</v>
      </c>
      <c r="P14" s="513"/>
    </row>
    <row r="15" spans="1:16" x14ac:dyDescent="0.2">
      <c r="A15" s="487" t="s">
        <v>353</v>
      </c>
      <c r="B15" s="487" t="s">
        <v>354</v>
      </c>
      <c r="C15" s="488"/>
      <c r="D15" s="489">
        <f t="shared" si="0"/>
        <v>0</v>
      </c>
      <c r="E15" s="489">
        <v>0</v>
      </c>
      <c r="F15" s="490">
        <f>D15*E15</f>
        <v>0</v>
      </c>
      <c r="G15" s="511">
        <f>IF(F15&gt;=H15,H15,F15)</f>
        <v>0</v>
      </c>
      <c r="H15" s="489">
        <v>0</v>
      </c>
      <c r="I15" s="492"/>
      <c r="K15" s="513"/>
      <c r="L15" s="518" t="s">
        <v>323</v>
      </c>
      <c r="M15" s="519">
        <f>'Tabel NBM'!Q125</f>
        <v>101.82210300613227</v>
      </c>
      <c r="N15" s="519">
        <f>'Tabel NBM'!R125</f>
        <v>7.9898494153088757</v>
      </c>
      <c r="O15" s="519">
        <f>'Tabel NBM'!S125</f>
        <v>7.2423273186790071</v>
      </c>
      <c r="P15" s="513"/>
    </row>
    <row r="16" spans="1:16" x14ac:dyDescent="0.2">
      <c r="A16" s="487"/>
      <c r="B16" s="487" t="s">
        <v>355</v>
      </c>
      <c r="C16" s="488">
        <f>SUM(C7:C15)</f>
        <v>2422.5598796523864</v>
      </c>
      <c r="D16" s="493">
        <f>SUM(D7:D15)</f>
        <v>100.93999498551611</v>
      </c>
      <c r="E16" s="494"/>
      <c r="F16" s="490">
        <f>SUM(F7:F15)</f>
        <v>114.44747983588094</v>
      </c>
      <c r="G16" s="512">
        <f>SUM(G7:G15)</f>
        <v>82.031641139934777</v>
      </c>
      <c r="H16" s="495">
        <f>SUM(H7:H15)</f>
        <v>100</v>
      </c>
      <c r="I16" s="495"/>
      <c r="K16" s="513"/>
      <c r="L16" s="518" t="s">
        <v>324</v>
      </c>
      <c r="M16" s="519">
        <f>'Tabel NBM'!Q131</f>
        <v>0</v>
      </c>
      <c r="N16" s="519">
        <f>'Tabel NBM'!R131</f>
        <v>0</v>
      </c>
      <c r="O16" s="519">
        <f>'Tabel NBM'!S131</f>
        <v>0</v>
      </c>
      <c r="P16" s="513" t="s">
        <v>344</v>
      </c>
    </row>
    <row r="17" spans="1:16" ht="15" x14ac:dyDescent="0.25">
      <c r="A17" s="496"/>
      <c r="B17" s="497" t="s">
        <v>604</v>
      </c>
      <c r="C17" s="496"/>
      <c r="D17" s="496"/>
      <c r="E17" s="496"/>
      <c r="F17" s="496"/>
      <c r="G17" s="496"/>
      <c r="H17" s="496"/>
      <c r="I17" s="496"/>
      <c r="K17" s="513"/>
      <c r="L17" s="518" t="s">
        <v>325</v>
      </c>
      <c r="M17" s="519">
        <f>'Tabel NBM'!Q135</f>
        <v>235.76393380501577</v>
      </c>
      <c r="N17" s="519">
        <f>'Tabel NBM'!R135</f>
        <v>43.518385535625299</v>
      </c>
      <c r="O17" s="519">
        <f>'Tabel NBM'!S135</f>
        <v>4.735188841393021</v>
      </c>
      <c r="P17" s="513" t="s">
        <v>347</v>
      </c>
    </row>
    <row r="18" spans="1:16" ht="15" x14ac:dyDescent="0.25">
      <c r="A18" s="496"/>
      <c r="B18" s="663" t="s">
        <v>614</v>
      </c>
      <c r="C18" s="663"/>
      <c r="D18" s="663"/>
      <c r="E18" s="663"/>
      <c r="F18" s="663"/>
      <c r="G18" s="663"/>
      <c r="H18" s="663"/>
      <c r="I18" s="663"/>
      <c r="K18" s="513"/>
      <c r="L18" s="518" t="s">
        <v>326</v>
      </c>
      <c r="M18" s="519">
        <f>'Tabel NBM'!Q172</f>
        <v>591.47887988407422</v>
      </c>
      <c r="N18" s="519">
        <f>'Tabel NBM'!R172</f>
        <v>3.0888721399752184E-2</v>
      </c>
      <c r="O18" s="519">
        <f>'Tabel NBM'!S172</f>
        <v>31.476928292138716</v>
      </c>
      <c r="P18" s="513"/>
    </row>
    <row r="19" spans="1:16" ht="15" x14ac:dyDescent="0.25">
      <c r="A19" s="496"/>
      <c r="B19" s="663"/>
      <c r="C19" s="663"/>
      <c r="D19" s="663"/>
      <c r="E19" s="663"/>
      <c r="F19" s="663"/>
      <c r="G19" s="663"/>
      <c r="H19" s="663"/>
      <c r="I19" s="663"/>
      <c r="K19" s="513"/>
      <c r="L19" s="520"/>
      <c r="M19" s="520"/>
      <c r="N19" s="521"/>
      <c r="O19" s="521"/>
      <c r="P19" s="513"/>
    </row>
    <row r="20" spans="1:16" ht="15.75" thickBot="1" x14ac:dyDescent="0.3">
      <c r="A20" s="498"/>
      <c r="B20" s="498"/>
      <c r="C20" s="498"/>
      <c r="D20" s="498"/>
      <c r="E20" s="498"/>
      <c r="F20" s="498"/>
      <c r="G20" s="498"/>
      <c r="H20" s="498"/>
      <c r="I20" s="498"/>
      <c r="K20" s="513"/>
      <c r="L20" s="522" t="s">
        <v>300</v>
      </c>
      <c r="M20" s="523">
        <f>SUM(M8:M18)</f>
        <v>2422.5598796523864</v>
      </c>
      <c r="N20" s="523">
        <f>SUM(N8:N18)</f>
        <v>101.94146800108922</v>
      </c>
      <c r="O20" s="523">
        <f>SUM(O8:O18)</f>
        <v>73.178643885935898</v>
      </c>
      <c r="P20" s="513"/>
    </row>
    <row r="21" spans="1:16" ht="15" x14ac:dyDescent="0.25">
      <c r="A21" s="669" t="s">
        <v>607</v>
      </c>
      <c r="B21" s="669"/>
      <c r="C21" s="669"/>
      <c r="D21" s="669"/>
      <c r="E21" s="669"/>
      <c r="F21" s="669"/>
      <c r="G21" s="669"/>
      <c r="H21" s="669"/>
      <c r="I21" s="669"/>
      <c r="K21" s="513"/>
      <c r="L21" s="522" t="s">
        <v>302</v>
      </c>
      <c r="M21" s="523">
        <f>'Tabel NBM'!Q190</f>
        <v>1807.7172462695321</v>
      </c>
      <c r="N21" s="523">
        <f>'Tabel NBM'!R190</f>
        <v>32.426991617679718</v>
      </c>
      <c r="O21" s="523">
        <f>'Tabel NBM'!S190</f>
        <v>38.943584232358837</v>
      </c>
      <c r="P21" s="513"/>
    </row>
    <row r="22" spans="1:16" x14ac:dyDescent="0.2">
      <c r="A22" s="666" t="s">
        <v>304</v>
      </c>
      <c r="B22" s="666"/>
      <c r="C22" s="666"/>
      <c r="D22" s="666"/>
      <c r="E22" s="666"/>
      <c r="F22" s="666"/>
      <c r="G22" s="666"/>
      <c r="H22" s="666"/>
      <c r="I22" s="666"/>
      <c r="K22" s="513"/>
      <c r="L22" s="522" t="s">
        <v>303</v>
      </c>
      <c r="M22" s="523">
        <f>'Tabel NBM'!Q192</f>
        <v>614.84263338285427</v>
      </c>
      <c r="N22" s="523">
        <f>'Tabel NBM'!R192</f>
        <v>69.514476383409516</v>
      </c>
      <c r="O22" s="523">
        <f>'Tabel NBM'!S192</f>
        <v>34.235059653577046</v>
      </c>
      <c r="P22" s="513"/>
    </row>
    <row r="23" spans="1:16" x14ac:dyDescent="0.2">
      <c r="A23" s="666" t="s">
        <v>609</v>
      </c>
      <c r="B23" s="666"/>
      <c r="C23" s="666"/>
      <c r="D23" s="666"/>
      <c r="E23" s="666"/>
      <c r="F23" s="666"/>
      <c r="G23" s="666"/>
      <c r="H23" s="666"/>
      <c r="I23" s="666"/>
      <c r="K23" s="513"/>
      <c r="L23" s="520"/>
      <c r="M23" s="520"/>
      <c r="N23" s="520"/>
      <c r="O23" s="520"/>
      <c r="P23" s="513"/>
    </row>
    <row r="24" spans="1:16" x14ac:dyDescent="0.2">
      <c r="A24" s="666" t="str">
        <f>A4</f>
        <v>TAHUN 2025</v>
      </c>
      <c r="B24" s="666"/>
      <c r="C24" s="666"/>
      <c r="D24" s="666"/>
      <c r="E24" s="666"/>
      <c r="F24" s="666"/>
      <c r="G24" s="666"/>
      <c r="H24" s="666"/>
      <c r="I24" s="666"/>
      <c r="K24" s="513"/>
      <c r="L24" s="524" t="s">
        <v>602</v>
      </c>
      <c r="M24" s="527">
        <f>M20/2400</f>
        <v>1.0093999498551609</v>
      </c>
      <c r="N24" s="527">
        <f>N20/63</f>
        <v>1.618118539699829</v>
      </c>
      <c r="O24" s="520"/>
      <c r="P24" s="513"/>
    </row>
    <row r="25" spans="1:16" x14ac:dyDescent="0.2">
      <c r="A25" s="483" t="s">
        <v>327</v>
      </c>
      <c r="B25" s="484" t="s">
        <v>328</v>
      </c>
      <c r="C25" s="484" t="s">
        <v>329</v>
      </c>
      <c r="D25" s="484" t="s">
        <v>330</v>
      </c>
      <c r="E25" s="484" t="s">
        <v>331</v>
      </c>
      <c r="F25" s="484" t="s">
        <v>332</v>
      </c>
      <c r="G25" s="507" t="s">
        <v>333</v>
      </c>
      <c r="H25" s="484" t="s">
        <v>334</v>
      </c>
      <c r="I25" s="484" t="s">
        <v>335</v>
      </c>
      <c r="K25" s="513"/>
      <c r="L25" s="520" t="s">
        <v>356</v>
      </c>
      <c r="M25" s="520"/>
      <c r="N25" s="520"/>
      <c r="O25" s="520"/>
      <c r="P25" s="513"/>
    </row>
    <row r="26" spans="1:16" x14ac:dyDescent="0.2">
      <c r="A26" s="485"/>
      <c r="B26" s="486" t="s">
        <v>336</v>
      </c>
      <c r="C26" s="486" t="s">
        <v>337</v>
      </c>
      <c r="D26" s="486"/>
      <c r="E26" s="486"/>
      <c r="F26" s="486"/>
      <c r="G26" s="508"/>
      <c r="H26" s="486"/>
      <c r="I26" s="486"/>
      <c r="K26" s="513"/>
      <c r="L26" s="520" t="s">
        <v>601</v>
      </c>
      <c r="M26" s="520"/>
      <c r="N26" s="520"/>
      <c r="O26" s="520"/>
      <c r="P26" s="513"/>
    </row>
    <row r="27" spans="1:16" x14ac:dyDescent="0.2">
      <c r="A27" s="487" t="s">
        <v>338</v>
      </c>
      <c r="B27" s="487" t="s">
        <v>316</v>
      </c>
      <c r="C27" s="488">
        <f>'Tabel NBM'!$Q$12</f>
        <v>905.92834762249072</v>
      </c>
      <c r="D27" s="489">
        <f>(C27/2400)*100</f>
        <v>37.747014484270444</v>
      </c>
      <c r="E27" s="489">
        <v>0.5</v>
      </c>
      <c r="F27" s="503">
        <f>D27*E27</f>
        <v>18.873507242135222</v>
      </c>
      <c r="G27" s="509">
        <f>IF(F27&gt;=H27,H27,F27)</f>
        <v>18.873507242135222</v>
      </c>
      <c r="H27" s="504">
        <v>24</v>
      </c>
      <c r="I27" s="491"/>
      <c r="K27" s="513"/>
      <c r="L27" s="520" t="s">
        <v>603</v>
      </c>
      <c r="M27" s="525"/>
      <c r="N27" s="525"/>
      <c r="O27" s="525"/>
      <c r="P27" s="513"/>
    </row>
    <row r="28" spans="1:16" x14ac:dyDescent="0.2">
      <c r="A28" s="487" t="s">
        <v>339</v>
      </c>
      <c r="B28" s="487" t="s">
        <v>340</v>
      </c>
      <c r="C28" s="488">
        <f>'Tabel NBM'!$Q$18+'Tabel NBM'!$Q$84</f>
        <v>21.650410472399798</v>
      </c>
      <c r="D28" s="489">
        <f t="shared" ref="D28" si="3">(C28/2400)*100</f>
        <v>0.90210043634999171</v>
      </c>
      <c r="E28" s="489">
        <v>0.5</v>
      </c>
      <c r="F28" s="503">
        <f t="shared" ref="F28:F34" si="4">D28*E28</f>
        <v>0.45105021817499585</v>
      </c>
      <c r="G28" s="509">
        <f t="shared" ref="G28:G34" si="5">IF(F28&gt;=H28,H28,F28)</f>
        <v>0.45105021817499585</v>
      </c>
      <c r="H28" s="504">
        <v>3.5</v>
      </c>
      <c r="I28" s="491"/>
    </row>
    <row r="29" spans="1:16" x14ac:dyDescent="0.2">
      <c r="A29" s="487" t="s">
        <v>341</v>
      </c>
      <c r="B29" s="487" t="s">
        <v>342</v>
      </c>
      <c r="C29" s="488">
        <f>'Tabel NBM'!$Q$112+'Tabel NBM'!$Q$125+'Tabel NBM'!$Q$131+'Tabel NBM'!$Q$135-'Tabel NBM'!$Q$157-'Tabel NBM'!$Q$123</f>
        <v>586.16113118060639</v>
      </c>
      <c r="D29" s="489">
        <f>(C29/2400)*100</f>
        <v>24.4233804658586</v>
      </c>
      <c r="E29" s="489">
        <v>2</v>
      </c>
      <c r="F29" s="503">
        <f t="shared" si="4"/>
        <v>48.846760931717199</v>
      </c>
      <c r="G29" s="509">
        <f t="shared" si="5"/>
        <v>24</v>
      </c>
      <c r="H29" s="505">
        <v>24</v>
      </c>
      <c r="I29" s="491"/>
    </row>
    <row r="30" spans="1:16" x14ac:dyDescent="0.2">
      <c r="A30" s="487" t="s">
        <v>343</v>
      </c>
      <c r="B30" s="487" t="s">
        <v>326</v>
      </c>
      <c r="C30" s="488">
        <f>'Tabel NBM'!$Q$123+'Tabel NBM'!$Q$172</f>
        <v>603.31573268299064</v>
      </c>
      <c r="D30" s="489">
        <f t="shared" ref="D30:D35" si="6">(C30/2400)*100</f>
        <v>25.138155528457943</v>
      </c>
      <c r="E30" s="489">
        <v>0.5</v>
      </c>
      <c r="F30" s="503">
        <f t="shared" si="4"/>
        <v>12.569077764228972</v>
      </c>
      <c r="G30" s="509">
        <f t="shared" si="5"/>
        <v>5</v>
      </c>
      <c r="H30" s="505">
        <v>5</v>
      </c>
      <c r="I30" s="491"/>
    </row>
    <row r="31" spans="1:16" x14ac:dyDescent="0.2">
      <c r="A31" s="487" t="s">
        <v>345</v>
      </c>
      <c r="B31" s="487" t="s">
        <v>346</v>
      </c>
      <c r="C31" s="488">
        <f>'Tabel NBM'!$Q$33</f>
        <v>0</v>
      </c>
      <c r="D31" s="489">
        <f t="shared" si="6"/>
        <v>0</v>
      </c>
      <c r="E31" s="489">
        <v>0.5</v>
      </c>
      <c r="F31" s="503">
        <f t="shared" si="4"/>
        <v>0</v>
      </c>
      <c r="G31" s="509">
        <f t="shared" si="5"/>
        <v>0</v>
      </c>
      <c r="H31" s="505">
        <v>1</v>
      </c>
      <c r="I31" s="491"/>
    </row>
    <row r="32" spans="1:16" ht="15" x14ac:dyDescent="0.25">
      <c r="A32" s="487" t="s">
        <v>348</v>
      </c>
      <c r="B32" s="487" t="s">
        <v>349</v>
      </c>
      <c r="C32" s="488">
        <f>'Tabel NBM'!$Q$29-'Tabel NBM'!$Q$33+'Tabel NBM'!$Q$82</f>
        <v>71.351939801448395</v>
      </c>
      <c r="D32" s="489">
        <f t="shared" si="6"/>
        <v>2.9729974917270163</v>
      </c>
      <c r="E32" s="489">
        <v>2</v>
      </c>
      <c r="F32" s="503">
        <f t="shared" si="4"/>
        <v>5.9459949834540327</v>
      </c>
      <c r="G32" s="509">
        <f t="shared" si="5"/>
        <v>5.9459949834540327</v>
      </c>
      <c r="H32" s="505">
        <v>10</v>
      </c>
      <c r="I32" s="491"/>
      <c r="K32"/>
    </row>
    <row r="33" spans="1:15" ht="15" x14ac:dyDescent="0.25">
      <c r="A33" s="487" t="s">
        <v>350</v>
      </c>
      <c r="B33" s="487" t="s">
        <v>318</v>
      </c>
      <c r="C33" s="488">
        <f>'Tabel NBM'!$Q$24</f>
        <v>112.11010238981341</v>
      </c>
      <c r="D33" s="489">
        <f t="shared" si="6"/>
        <v>4.671254266242225</v>
      </c>
      <c r="E33" s="489">
        <v>0.5</v>
      </c>
      <c r="F33" s="503">
        <f t="shared" si="4"/>
        <v>2.3356271331211125</v>
      </c>
      <c r="G33" s="509">
        <f t="shared" si="5"/>
        <v>2.3356271331211125</v>
      </c>
      <c r="H33" s="505">
        <v>2.5</v>
      </c>
      <c r="I33" s="491"/>
      <c r="K33"/>
      <c r="L33"/>
      <c r="M33"/>
      <c r="N33"/>
      <c r="O33"/>
    </row>
    <row r="34" spans="1:15" ht="15" x14ac:dyDescent="0.25">
      <c r="A34" s="487" t="s">
        <v>351</v>
      </c>
      <c r="B34" s="487" t="s">
        <v>352</v>
      </c>
      <c r="C34" s="488">
        <f>'Tabel NBM'!$Q$35+'Tabel NBM'!$Q$77-'Tabel NBM'!$Q$84-'Tabel NBM'!$Q$82+'Tabel NBM'!$Q$157</f>
        <v>122.04221550263716</v>
      </c>
      <c r="D34" s="489">
        <f t="shared" si="6"/>
        <v>5.0850923126098815</v>
      </c>
      <c r="E34" s="489">
        <v>5</v>
      </c>
      <c r="F34" s="503">
        <f t="shared" si="4"/>
        <v>25.425461563049407</v>
      </c>
      <c r="G34" s="509">
        <f t="shared" si="5"/>
        <v>25.425461563049407</v>
      </c>
      <c r="H34" s="505">
        <v>30</v>
      </c>
      <c r="I34" s="491"/>
      <c r="K34"/>
      <c r="L34"/>
      <c r="M34"/>
      <c r="N34"/>
      <c r="O34"/>
    </row>
    <row r="35" spans="1:15" ht="15" x14ac:dyDescent="0.25">
      <c r="A35" s="487" t="s">
        <v>353</v>
      </c>
      <c r="B35" s="487" t="s">
        <v>354</v>
      </c>
      <c r="C35" s="488"/>
      <c r="D35" s="489">
        <f t="shared" si="6"/>
        <v>0</v>
      </c>
      <c r="E35" s="489">
        <v>0</v>
      </c>
      <c r="F35" s="503">
        <f>D35*E35</f>
        <v>0</v>
      </c>
      <c r="G35" s="509">
        <f>IF(F35&gt;=H35,H35,F35)</f>
        <v>0</v>
      </c>
      <c r="H35" s="505">
        <v>0</v>
      </c>
      <c r="I35" s="492"/>
      <c r="K35"/>
      <c r="L35"/>
      <c r="M35"/>
      <c r="N35"/>
      <c r="O35"/>
    </row>
    <row r="36" spans="1:15" ht="15" x14ac:dyDescent="0.25">
      <c r="A36" s="487"/>
      <c r="B36" s="487" t="s">
        <v>355</v>
      </c>
      <c r="C36" s="488">
        <f>SUM(C27:C35)</f>
        <v>2422.5598796523864</v>
      </c>
      <c r="D36" s="493">
        <f>SUM(D27:D35)</f>
        <v>100.93999498551611</v>
      </c>
      <c r="E36" s="494"/>
      <c r="F36" s="503">
        <f>SUM(F27:F35)</f>
        <v>114.44747983588094</v>
      </c>
      <c r="G36" s="510">
        <f>SUM(G27:G35)</f>
        <v>82.031641139934777</v>
      </c>
      <c r="H36" s="506">
        <f>SUM(H27:H35)</f>
        <v>100</v>
      </c>
      <c r="I36" s="495"/>
      <c r="K36"/>
      <c r="L36"/>
      <c r="M36"/>
      <c r="N36"/>
      <c r="O36"/>
    </row>
    <row r="37" spans="1:15" ht="15" x14ac:dyDescent="0.25">
      <c r="A37" s="500"/>
      <c r="B37" s="501" t="s">
        <v>604</v>
      </c>
      <c r="C37" s="500"/>
      <c r="D37" s="500"/>
      <c r="E37" s="500"/>
      <c r="F37" s="500"/>
      <c r="G37" s="500"/>
      <c r="H37" s="500"/>
      <c r="I37" s="500"/>
      <c r="K37"/>
      <c r="L37"/>
      <c r="M37"/>
      <c r="N37"/>
      <c r="O37"/>
    </row>
    <row r="38" spans="1:15" ht="15" x14ac:dyDescent="0.25">
      <c r="A38" s="500"/>
      <c r="B38" s="664" t="s">
        <v>615</v>
      </c>
      <c r="C38" s="664"/>
      <c r="D38" s="664"/>
      <c r="E38" s="664"/>
      <c r="F38" s="664"/>
      <c r="G38" s="664"/>
      <c r="H38" s="664"/>
      <c r="I38" s="664"/>
      <c r="K38"/>
      <c r="L38"/>
      <c r="M38"/>
      <c r="N38"/>
      <c r="O38"/>
    </row>
    <row r="39" spans="1:15" ht="15" x14ac:dyDescent="0.25">
      <c r="A39" s="500"/>
      <c r="B39" s="664"/>
      <c r="C39" s="664"/>
      <c r="D39" s="664"/>
      <c r="E39" s="664"/>
      <c r="F39" s="664"/>
      <c r="G39" s="664"/>
      <c r="H39" s="664"/>
      <c r="I39" s="664"/>
      <c r="K39"/>
      <c r="L39"/>
      <c r="M39"/>
      <c r="N39"/>
      <c r="O39"/>
    </row>
    <row r="40" spans="1:15" ht="15.75" thickBot="1" x14ac:dyDescent="0.3">
      <c r="A40" s="502"/>
      <c r="B40" s="502"/>
      <c r="C40" s="502"/>
      <c r="D40" s="502"/>
      <c r="E40" s="502"/>
      <c r="F40" s="502"/>
      <c r="G40" s="502"/>
      <c r="H40" s="502"/>
      <c r="I40" s="502"/>
      <c r="K40"/>
      <c r="L40"/>
      <c r="M40"/>
      <c r="N40"/>
      <c r="O40"/>
    </row>
    <row r="41" spans="1:15" ht="15" x14ac:dyDescent="0.25">
      <c r="A41" s="672" t="s">
        <v>608</v>
      </c>
      <c r="B41" s="672"/>
      <c r="C41" s="672"/>
      <c r="D41" s="672"/>
      <c r="E41" s="672"/>
      <c r="F41" s="672"/>
      <c r="G41" s="672"/>
      <c r="H41" s="672"/>
      <c r="I41" s="672"/>
      <c r="K41"/>
      <c r="L41"/>
      <c r="M41"/>
      <c r="N41"/>
      <c r="O41"/>
    </row>
    <row r="42" spans="1:15" ht="15" x14ac:dyDescent="0.25">
      <c r="A42" s="666" t="s">
        <v>304</v>
      </c>
      <c r="B42" s="666"/>
      <c r="C42" s="666"/>
      <c r="D42" s="666"/>
      <c r="E42" s="666"/>
      <c r="F42" s="666"/>
      <c r="G42" s="666"/>
      <c r="H42" s="666"/>
      <c r="I42" s="666"/>
      <c r="K42"/>
      <c r="L42"/>
      <c r="M42"/>
      <c r="N42"/>
      <c r="O42"/>
    </row>
    <row r="43" spans="1:15" ht="15" x14ac:dyDescent="0.25">
      <c r="A43" s="666" t="s">
        <v>609</v>
      </c>
      <c r="B43" s="666"/>
      <c r="C43" s="666"/>
      <c r="D43" s="666"/>
      <c r="E43" s="666"/>
      <c r="F43" s="666"/>
      <c r="G43" s="666"/>
      <c r="H43" s="666"/>
      <c r="I43" s="666"/>
      <c r="K43"/>
      <c r="L43"/>
      <c r="M43"/>
      <c r="N43"/>
      <c r="O43"/>
    </row>
    <row r="44" spans="1:15" ht="15" x14ac:dyDescent="0.25">
      <c r="A44" s="666" t="str">
        <f>A24</f>
        <v>TAHUN 2025</v>
      </c>
      <c r="B44" s="666"/>
      <c r="C44" s="666"/>
      <c r="D44" s="666"/>
      <c r="E44" s="666"/>
      <c r="F44" s="666"/>
      <c r="G44" s="666"/>
      <c r="H44" s="666"/>
      <c r="I44" s="666"/>
      <c r="K44"/>
      <c r="L44"/>
      <c r="M44"/>
      <c r="N44"/>
      <c r="O44"/>
    </row>
    <row r="45" spans="1:15" ht="15" x14ac:dyDescent="0.25">
      <c r="A45" s="483" t="s">
        <v>327</v>
      </c>
      <c r="B45" s="484" t="s">
        <v>328</v>
      </c>
      <c r="C45" s="484" t="s">
        <v>329</v>
      </c>
      <c r="D45" s="484" t="s">
        <v>330</v>
      </c>
      <c r="E45" s="484" t="s">
        <v>331</v>
      </c>
      <c r="F45" s="484" t="s">
        <v>332</v>
      </c>
      <c r="G45" s="507" t="s">
        <v>333</v>
      </c>
      <c r="H45" s="484" t="s">
        <v>334</v>
      </c>
      <c r="I45" s="484" t="s">
        <v>335</v>
      </c>
      <c r="K45"/>
      <c r="L45"/>
      <c r="M45"/>
      <c r="N45"/>
      <c r="O45"/>
    </row>
    <row r="46" spans="1:15" x14ac:dyDescent="0.2">
      <c r="A46" s="485"/>
      <c r="B46" s="486" t="s">
        <v>336</v>
      </c>
      <c r="C46" s="486" t="s">
        <v>337</v>
      </c>
      <c r="D46" s="486"/>
      <c r="E46" s="486"/>
      <c r="F46" s="486"/>
      <c r="G46" s="508"/>
      <c r="H46" s="486"/>
      <c r="I46" s="486"/>
    </row>
    <row r="47" spans="1:15" x14ac:dyDescent="0.2">
      <c r="A47" s="487" t="s">
        <v>338</v>
      </c>
      <c r="B47" s="487" t="s">
        <v>316</v>
      </c>
      <c r="C47" s="488">
        <f>'Tabel NBM'!$Q$12</f>
        <v>905.92834762249072</v>
      </c>
      <c r="D47" s="489">
        <f>(C47/2400)*100</f>
        <v>37.747014484270444</v>
      </c>
      <c r="E47" s="489">
        <v>0.5</v>
      </c>
      <c r="F47" s="490">
        <f>D47*E47</f>
        <v>18.873507242135222</v>
      </c>
      <c r="G47" s="511">
        <f>IF(F47&gt;=H47,H47,F47)</f>
        <v>18.873507242135222</v>
      </c>
      <c r="H47" s="499">
        <v>20</v>
      </c>
      <c r="I47" s="491"/>
    </row>
    <row r="48" spans="1:15" x14ac:dyDescent="0.2">
      <c r="A48" s="487" t="s">
        <v>339</v>
      </c>
      <c r="B48" s="487" t="s">
        <v>340</v>
      </c>
      <c r="C48" s="488">
        <f>'Tabel NBM'!$Q$18+'Tabel NBM'!$Q$84</f>
        <v>21.650410472399798</v>
      </c>
      <c r="D48" s="489">
        <f t="shared" ref="D48" si="7">(C48/2400)*100</f>
        <v>0.90210043634999171</v>
      </c>
      <c r="E48" s="489">
        <v>0.5</v>
      </c>
      <c r="F48" s="490">
        <f t="shared" ref="F48:F54" si="8">D48*E48</f>
        <v>0.45105021817499585</v>
      </c>
      <c r="G48" s="511">
        <f t="shared" ref="G48:G54" si="9">IF(F48&gt;=H48,H48,F48)</f>
        <v>0.45105021817499585</v>
      </c>
      <c r="H48" s="499">
        <v>8</v>
      </c>
      <c r="I48" s="491"/>
    </row>
    <row r="49" spans="1:9" x14ac:dyDescent="0.2">
      <c r="A49" s="487" t="s">
        <v>341</v>
      </c>
      <c r="B49" s="487" t="s">
        <v>342</v>
      </c>
      <c r="C49" s="488">
        <f>'Tabel NBM'!$Q$112+'Tabel NBM'!$Q$125+'Tabel NBM'!$Q$131+'Tabel NBM'!$Q$135-'Tabel NBM'!$Q$157-'Tabel NBM'!$Q$123</f>
        <v>586.16113118060639</v>
      </c>
      <c r="D49" s="489">
        <f>(C49/2400)*100</f>
        <v>24.4233804658586</v>
      </c>
      <c r="E49" s="489">
        <v>2</v>
      </c>
      <c r="F49" s="490">
        <f t="shared" si="8"/>
        <v>48.846760931717199</v>
      </c>
      <c r="G49" s="511">
        <f t="shared" si="9"/>
        <v>30</v>
      </c>
      <c r="H49" s="499">
        <v>30</v>
      </c>
      <c r="I49" s="491"/>
    </row>
    <row r="50" spans="1:9" x14ac:dyDescent="0.2">
      <c r="A50" s="487" t="s">
        <v>343</v>
      </c>
      <c r="B50" s="487" t="s">
        <v>326</v>
      </c>
      <c r="C50" s="488">
        <f>'Tabel NBM'!$Q$123+'Tabel NBM'!$Q$172</f>
        <v>603.31573268299064</v>
      </c>
      <c r="D50" s="489">
        <f t="shared" ref="D50:D55" si="10">(C50/2400)*100</f>
        <v>25.138155528457943</v>
      </c>
      <c r="E50" s="489">
        <v>0.5</v>
      </c>
      <c r="F50" s="490">
        <f t="shared" si="8"/>
        <v>12.569077764228972</v>
      </c>
      <c r="G50" s="511">
        <f t="shared" si="9"/>
        <v>4</v>
      </c>
      <c r="H50" s="499">
        <v>4</v>
      </c>
      <c r="I50" s="491"/>
    </row>
    <row r="51" spans="1:9" x14ac:dyDescent="0.2">
      <c r="A51" s="487" t="s">
        <v>345</v>
      </c>
      <c r="B51" s="487" t="s">
        <v>346</v>
      </c>
      <c r="C51" s="488">
        <f>'Tabel NBM'!$Q$33</f>
        <v>0</v>
      </c>
      <c r="D51" s="489">
        <f t="shared" si="10"/>
        <v>0</v>
      </c>
      <c r="E51" s="489">
        <v>0.5</v>
      </c>
      <c r="F51" s="490">
        <f t="shared" si="8"/>
        <v>0</v>
      </c>
      <c r="G51" s="511">
        <f t="shared" si="9"/>
        <v>0</v>
      </c>
      <c r="H51" s="489">
        <v>1</v>
      </c>
      <c r="I51" s="491"/>
    </row>
    <row r="52" spans="1:9" x14ac:dyDescent="0.2">
      <c r="A52" s="487" t="s">
        <v>348</v>
      </c>
      <c r="B52" s="487" t="s">
        <v>349</v>
      </c>
      <c r="C52" s="488">
        <f>'Tabel NBM'!$Q$29-'Tabel NBM'!$Q$33+'Tabel NBM'!$Q$82</f>
        <v>71.351939801448395</v>
      </c>
      <c r="D52" s="489">
        <f t="shared" si="10"/>
        <v>2.9729974917270163</v>
      </c>
      <c r="E52" s="489">
        <v>2</v>
      </c>
      <c r="F52" s="490">
        <f t="shared" si="8"/>
        <v>5.9459949834540327</v>
      </c>
      <c r="G52" s="511">
        <f t="shared" si="9"/>
        <v>5.9459949834540327</v>
      </c>
      <c r="H52" s="489">
        <v>10</v>
      </c>
      <c r="I52" s="491"/>
    </row>
    <row r="53" spans="1:9" x14ac:dyDescent="0.2">
      <c r="A53" s="487" t="s">
        <v>350</v>
      </c>
      <c r="B53" s="487" t="s">
        <v>318</v>
      </c>
      <c r="C53" s="488">
        <f>'Tabel NBM'!$Q$24</f>
        <v>112.11010238981341</v>
      </c>
      <c r="D53" s="489">
        <f t="shared" si="10"/>
        <v>4.671254266242225</v>
      </c>
      <c r="E53" s="489">
        <v>0.5</v>
      </c>
      <c r="F53" s="490">
        <f t="shared" si="8"/>
        <v>2.3356271331211125</v>
      </c>
      <c r="G53" s="511">
        <f t="shared" si="9"/>
        <v>2</v>
      </c>
      <c r="H53" s="499">
        <v>2</v>
      </c>
      <c r="I53" s="491"/>
    </row>
    <row r="54" spans="1:9" x14ac:dyDescent="0.2">
      <c r="A54" s="487" t="s">
        <v>351</v>
      </c>
      <c r="B54" s="487" t="s">
        <v>352</v>
      </c>
      <c r="C54" s="488">
        <f>'Tabel NBM'!$Q$35+'Tabel NBM'!$Q$77-'Tabel NBM'!$Q$84-'Tabel NBM'!$Q$82+'Tabel NBM'!$Q$157</f>
        <v>122.04221550263716</v>
      </c>
      <c r="D54" s="489">
        <f t="shared" si="10"/>
        <v>5.0850923126098815</v>
      </c>
      <c r="E54" s="489">
        <v>5</v>
      </c>
      <c r="F54" s="490">
        <f t="shared" si="8"/>
        <v>25.425461563049407</v>
      </c>
      <c r="G54" s="511">
        <f t="shared" si="9"/>
        <v>25</v>
      </c>
      <c r="H54" s="499">
        <v>25</v>
      </c>
      <c r="I54" s="491"/>
    </row>
    <row r="55" spans="1:9" x14ac:dyDescent="0.2">
      <c r="A55" s="487" t="s">
        <v>353</v>
      </c>
      <c r="B55" s="487" t="s">
        <v>354</v>
      </c>
      <c r="C55" s="488"/>
      <c r="D55" s="489">
        <f t="shared" si="10"/>
        <v>0</v>
      </c>
      <c r="E55" s="489">
        <v>0</v>
      </c>
      <c r="F55" s="490">
        <f>D55*E55</f>
        <v>0</v>
      </c>
      <c r="G55" s="511">
        <f>IF(F55&gt;=H55,H55,F55)</f>
        <v>0</v>
      </c>
      <c r="H55" s="489">
        <v>0</v>
      </c>
      <c r="I55" s="492"/>
    </row>
    <row r="56" spans="1:9" x14ac:dyDescent="0.2">
      <c r="A56" s="487"/>
      <c r="B56" s="487" t="s">
        <v>355</v>
      </c>
      <c r="C56" s="488">
        <f>SUM(C47:C55)</f>
        <v>2422.5598796523864</v>
      </c>
      <c r="D56" s="493">
        <f>SUM(D47:D55)</f>
        <v>100.93999498551611</v>
      </c>
      <c r="E56" s="494"/>
      <c r="F56" s="490">
        <f>SUM(F47:F55)</f>
        <v>114.44747983588094</v>
      </c>
      <c r="G56" s="512">
        <f>SUM(G47:G55)</f>
        <v>86.270552443764245</v>
      </c>
      <c r="H56" s="495">
        <f>SUM(H47:H55)</f>
        <v>100</v>
      </c>
      <c r="I56" s="495"/>
    </row>
    <row r="57" spans="1:9" x14ac:dyDescent="0.2">
      <c r="A57" s="500"/>
      <c r="B57" s="501" t="s">
        <v>604</v>
      </c>
      <c r="C57" s="500"/>
      <c r="D57" s="500"/>
      <c r="E57" s="500"/>
      <c r="F57" s="500"/>
      <c r="G57" s="500"/>
      <c r="H57" s="500"/>
      <c r="I57" s="500"/>
    </row>
    <row r="58" spans="1:9" x14ac:dyDescent="0.2">
      <c r="A58" s="500"/>
      <c r="B58" s="663" t="s">
        <v>616</v>
      </c>
      <c r="C58" s="663"/>
      <c r="D58" s="663"/>
      <c r="E58" s="663"/>
      <c r="F58" s="663"/>
      <c r="G58" s="663"/>
      <c r="H58" s="663"/>
      <c r="I58" s="663"/>
    </row>
    <row r="59" spans="1:9" x14ac:dyDescent="0.2">
      <c r="A59" s="500"/>
      <c r="B59" s="663"/>
      <c r="C59" s="663"/>
      <c r="D59" s="663"/>
      <c r="E59" s="663"/>
      <c r="F59" s="663"/>
      <c r="G59" s="663"/>
      <c r="H59" s="663"/>
      <c r="I59" s="663"/>
    </row>
    <row r="60" spans="1:9" ht="13.5" thickBot="1" x14ac:dyDescent="0.25">
      <c r="A60" s="502"/>
      <c r="B60" s="502"/>
      <c r="C60" s="502"/>
      <c r="D60" s="502"/>
      <c r="E60" s="502"/>
      <c r="F60" s="502"/>
      <c r="G60" s="502"/>
      <c r="H60" s="502"/>
      <c r="I60" s="502"/>
    </row>
  </sheetData>
  <sheetProtection algorithmName="SHA-512" hashValue="sqP/4F37qUcjKpicipEZDZBRGAKZS7C5MCRrckTeIBwOjFxNohdBdnIzp7BXVqE/6bZVVxzPxFC26ChJYakdbg==" saltValue="zHFs8LInj3hp2z25jA/X+g==" spinCount="100000" sheet="1" objects="1" scenarios="1"/>
  <mergeCells count="19">
    <mergeCell ref="L1:O1"/>
    <mergeCell ref="L3:O3"/>
    <mergeCell ref="A41:I41"/>
    <mergeCell ref="A42:I42"/>
    <mergeCell ref="A1:I1"/>
    <mergeCell ref="A2:I2"/>
    <mergeCell ref="A3:I3"/>
    <mergeCell ref="B58:I59"/>
    <mergeCell ref="B38:I39"/>
    <mergeCell ref="L2:O2"/>
    <mergeCell ref="A43:I43"/>
    <mergeCell ref="A44:I44"/>
    <mergeCell ref="L4:L5"/>
    <mergeCell ref="A22:I22"/>
    <mergeCell ref="A23:I23"/>
    <mergeCell ref="A24:I24"/>
    <mergeCell ref="A21:I21"/>
    <mergeCell ref="A4:I4"/>
    <mergeCell ref="B18:I19"/>
  </mergeCell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R186"/>
  <sheetViews>
    <sheetView topLeftCell="A4" zoomScale="80" zoomScaleNormal="120" workbookViewId="0">
      <pane xSplit="3" ySplit="7" topLeftCell="D11" activePane="bottomRight" state="frozen"/>
      <selection activeCell="A4" sqref="A4"/>
      <selection pane="topRight" activeCell="C4" sqref="C4"/>
      <selection pane="bottomLeft" activeCell="A11" sqref="A11"/>
      <selection pane="bottomRight" activeCell="J13" sqref="J13:K186"/>
    </sheetView>
  </sheetViews>
  <sheetFormatPr defaultColWidth="8.85546875" defaultRowHeight="15" x14ac:dyDescent="0.25"/>
  <cols>
    <col min="1" max="2" width="3.5703125" style="397" customWidth="1"/>
    <col min="3" max="3" width="38.28515625" style="397" customWidth="1"/>
    <col min="4" max="5" width="10.28515625" style="248" customWidth="1"/>
    <col min="6" max="6" width="12.7109375" style="240" customWidth="1"/>
    <col min="7" max="7" width="12.28515625" style="240" customWidth="1"/>
    <col min="8" max="8" width="15.7109375" style="425" customWidth="1"/>
    <col min="9" max="9" width="13.28515625" style="396" bestFit="1" customWidth="1"/>
    <col min="10" max="11" width="11.28515625" style="240" customWidth="1"/>
    <col min="12" max="12" width="2.7109375" style="397" customWidth="1"/>
    <col min="13" max="13" width="71.28515625" style="397" customWidth="1"/>
    <col min="14" max="16384" width="8.85546875" style="397"/>
  </cols>
  <sheetData>
    <row r="4" spans="1:18" ht="14.45" customHeight="1" x14ac:dyDescent="0.25">
      <c r="A4" s="65"/>
      <c r="B4" s="65"/>
      <c r="C4" s="239" t="s">
        <v>357</v>
      </c>
      <c r="D4" s="674">
        <f>Produksi!N4</f>
        <v>248105</v>
      </c>
      <c r="E4" s="675"/>
      <c r="F4" s="425"/>
      <c r="G4" s="425"/>
      <c r="J4" s="425"/>
      <c r="K4" s="425"/>
      <c r="L4" s="426" t="s">
        <v>567</v>
      </c>
      <c r="M4" s="426"/>
      <c r="N4" s="426"/>
      <c r="O4" s="426"/>
      <c r="P4" s="426"/>
      <c r="Q4" s="426"/>
      <c r="R4" s="426"/>
    </row>
    <row r="5" spans="1:18" ht="21" customHeight="1" x14ac:dyDescent="0.25">
      <c r="A5" s="676" t="s">
        <v>48</v>
      </c>
      <c r="B5" s="677"/>
      <c r="C5" s="678"/>
      <c r="D5" s="611" t="s">
        <v>625</v>
      </c>
      <c r="E5" s="611" t="s">
        <v>626</v>
      </c>
      <c r="F5" s="605" t="s">
        <v>358</v>
      </c>
      <c r="G5" s="605" t="s">
        <v>359</v>
      </c>
      <c r="H5" s="689" t="s">
        <v>360</v>
      </c>
      <c r="I5" s="692" t="s">
        <v>361</v>
      </c>
      <c r="J5" s="695" t="s">
        <v>362</v>
      </c>
      <c r="K5" s="696"/>
      <c r="L5" s="427"/>
      <c r="M5" s="426"/>
    </row>
    <row r="6" spans="1:18" ht="14.45" customHeight="1" x14ac:dyDescent="0.25">
      <c r="A6" s="679"/>
      <c r="B6" s="680"/>
      <c r="C6" s="680"/>
      <c r="D6" s="681"/>
      <c r="E6" s="681"/>
      <c r="F6" s="682"/>
      <c r="G6" s="682"/>
      <c r="H6" s="690"/>
      <c r="I6" s="693"/>
      <c r="J6" s="697"/>
      <c r="K6" s="698"/>
      <c r="L6" s="685" t="s">
        <v>594</v>
      </c>
      <c r="M6" s="686"/>
    </row>
    <row r="7" spans="1:18" x14ac:dyDescent="0.25">
      <c r="A7" s="679"/>
      <c r="B7" s="680"/>
      <c r="C7" s="680"/>
      <c r="D7" s="681"/>
      <c r="E7" s="681"/>
      <c r="F7" s="682"/>
      <c r="G7" s="682"/>
      <c r="H7" s="690"/>
      <c r="I7" s="693"/>
      <c r="J7" s="697"/>
      <c r="K7" s="698"/>
      <c r="L7" s="685"/>
      <c r="M7" s="686"/>
    </row>
    <row r="8" spans="1:18" ht="18.600000000000001" customHeight="1" x14ac:dyDescent="0.25">
      <c r="A8" s="699" t="s">
        <v>49</v>
      </c>
      <c r="B8" s="700"/>
      <c r="C8" s="700"/>
      <c r="D8" s="681"/>
      <c r="E8" s="681"/>
      <c r="F8" s="682"/>
      <c r="G8" s="682"/>
      <c r="H8" s="690"/>
      <c r="I8" s="693"/>
      <c r="J8" s="701" t="s">
        <v>363</v>
      </c>
      <c r="K8" s="701" t="s">
        <v>364</v>
      </c>
      <c r="L8" s="428" t="s">
        <v>568</v>
      </c>
      <c r="M8" s="683" t="s">
        <v>595</v>
      </c>
    </row>
    <row r="9" spans="1:18" ht="18.600000000000001" customHeight="1" x14ac:dyDescent="0.25">
      <c r="A9" s="699"/>
      <c r="B9" s="700"/>
      <c r="C9" s="700"/>
      <c r="D9" s="681"/>
      <c r="E9" s="681"/>
      <c r="F9" s="682"/>
      <c r="G9" s="682"/>
      <c r="H9" s="690"/>
      <c r="I9" s="693"/>
      <c r="J9" s="702"/>
      <c r="K9" s="702"/>
      <c r="L9" s="429"/>
      <c r="M9" s="684"/>
    </row>
    <row r="10" spans="1:18" ht="18.600000000000001" customHeight="1" x14ac:dyDescent="0.25">
      <c r="A10" s="241"/>
      <c r="B10" s="242"/>
      <c r="C10" s="242"/>
      <c r="D10" s="612"/>
      <c r="E10" s="612"/>
      <c r="F10" s="606"/>
      <c r="G10" s="606"/>
      <c r="H10" s="691"/>
      <c r="I10" s="694"/>
      <c r="J10" s="703"/>
      <c r="K10" s="703"/>
      <c r="L10" s="429" t="s">
        <v>568</v>
      </c>
      <c r="M10" s="430" t="s">
        <v>596</v>
      </c>
    </row>
    <row r="11" spans="1:18" x14ac:dyDescent="0.25">
      <c r="A11" s="687"/>
      <c r="B11" s="688"/>
      <c r="C11" s="688"/>
      <c r="D11" s="398"/>
      <c r="E11" s="398"/>
      <c r="F11" s="399"/>
      <c r="G11" s="399"/>
      <c r="H11" s="446"/>
      <c r="I11" s="400"/>
    </row>
    <row r="12" spans="1:18" x14ac:dyDescent="0.25">
      <c r="A12" s="286" t="s">
        <v>396</v>
      </c>
      <c r="B12" s="287"/>
      <c r="C12" s="286"/>
      <c r="D12" s="286"/>
      <c r="E12" s="243"/>
      <c r="F12" s="244"/>
      <c r="G12" s="244"/>
      <c r="H12" s="447"/>
      <c r="I12" s="401"/>
      <c r="J12" s="402"/>
      <c r="K12" s="402"/>
    </row>
    <row r="13" spans="1:18" x14ac:dyDescent="0.25">
      <c r="A13" s="297">
        <v>1</v>
      </c>
      <c r="B13" s="282" t="s">
        <v>523</v>
      </c>
      <c r="C13" s="288"/>
      <c r="D13" s="288"/>
      <c r="E13" s="245">
        <f>D13*110%</f>
        <v>0</v>
      </c>
      <c r="F13" s="246">
        <f>E13*$D$4</f>
        <v>0</v>
      </c>
      <c r="G13" s="246">
        <f>'Tabel NBM'!H13</f>
        <v>20943.060199717966</v>
      </c>
      <c r="H13" s="448">
        <f>G13-F13</f>
        <v>20943.060199717966</v>
      </c>
      <c r="I13" s="403" t="str">
        <f>IF(H13&lt;0,"IMPOR","EKSPOR")</f>
        <v>EKSPOR</v>
      </c>
      <c r="J13" s="246"/>
      <c r="K13" s="246"/>
    </row>
    <row r="14" spans="1:18" x14ac:dyDescent="0.25">
      <c r="A14" s="297">
        <v>2</v>
      </c>
      <c r="B14" s="282" t="s">
        <v>530</v>
      </c>
      <c r="C14" s="345"/>
      <c r="D14" s="345"/>
      <c r="E14" s="245">
        <f t="shared" ref="E14:E50" si="0">D14*110%</f>
        <v>0</v>
      </c>
      <c r="F14" s="246">
        <f t="shared" ref="F14:F75" si="1">E14*$D$4</f>
        <v>0</v>
      </c>
      <c r="G14" s="246">
        <f>'Tabel NBM'!H14</f>
        <v>2422.0611374999999</v>
      </c>
      <c r="H14" s="448">
        <f t="shared" ref="H14:H93" si="2">G14-F14</f>
        <v>2422.0611374999999</v>
      </c>
      <c r="I14" s="403" t="str">
        <f t="shared" ref="I14:I94" si="3">IF(H14&lt;0,"IMPOR","EKSPOR")</f>
        <v>EKSPOR</v>
      </c>
      <c r="J14" s="246"/>
      <c r="K14" s="246"/>
    </row>
    <row r="15" spans="1:18" x14ac:dyDescent="0.25">
      <c r="A15" s="297">
        <v>3</v>
      </c>
      <c r="B15" s="282" t="s">
        <v>526</v>
      </c>
      <c r="C15" s="345"/>
      <c r="D15" s="345"/>
      <c r="E15" s="245">
        <f t="shared" si="0"/>
        <v>0</v>
      </c>
      <c r="F15" s="246">
        <f t="shared" si="1"/>
        <v>0</v>
      </c>
      <c r="G15" s="246">
        <f>'Tabel NBM'!H15</f>
        <v>0</v>
      </c>
      <c r="H15" s="448">
        <f t="shared" si="2"/>
        <v>0</v>
      </c>
      <c r="I15" s="403" t="str">
        <f t="shared" si="3"/>
        <v>EKSPOR</v>
      </c>
      <c r="J15" s="246"/>
      <c r="K15" s="246"/>
    </row>
    <row r="16" spans="1:18" x14ac:dyDescent="0.25">
      <c r="A16" s="297">
        <v>4</v>
      </c>
      <c r="B16" s="282" t="s">
        <v>53</v>
      </c>
      <c r="C16" s="345"/>
      <c r="D16" s="345"/>
      <c r="E16" s="245">
        <f t="shared" si="0"/>
        <v>0</v>
      </c>
      <c r="F16" s="246">
        <f t="shared" si="1"/>
        <v>0</v>
      </c>
      <c r="G16" s="246">
        <f>'Tabel NBM'!H16</f>
        <v>0</v>
      </c>
      <c r="H16" s="448">
        <f t="shared" si="2"/>
        <v>0</v>
      </c>
      <c r="I16" s="403" t="str">
        <f t="shared" si="3"/>
        <v>EKSPOR</v>
      </c>
      <c r="J16" s="246"/>
      <c r="K16" s="246"/>
    </row>
    <row r="17" spans="1:11" x14ac:dyDescent="0.25">
      <c r="A17" s="297"/>
      <c r="B17" s="282"/>
      <c r="C17" s="282"/>
      <c r="D17" s="282"/>
      <c r="E17" s="245"/>
      <c r="F17" s="246"/>
      <c r="G17" s="246"/>
      <c r="H17" s="448"/>
      <c r="I17" s="403"/>
      <c r="J17" s="246"/>
      <c r="K17" s="246"/>
    </row>
    <row r="18" spans="1:11" x14ac:dyDescent="0.25">
      <c r="A18" s="335" t="s">
        <v>55</v>
      </c>
      <c r="B18" s="296"/>
      <c r="C18" s="282"/>
      <c r="D18" s="282"/>
      <c r="E18" s="245"/>
      <c r="F18" s="246"/>
      <c r="G18" s="246"/>
      <c r="H18" s="448"/>
      <c r="I18" s="403"/>
      <c r="J18" s="246"/>
      <c r="K18" s="246"/>
    </row>
    <row r="19" spans="1:11" x14ac:dyDescent="0.25">
      <c r="A19" s="297">
        <v>5</v>
      </c>
      <c r="B19" s="282" t="s">
        <v>56</v>
      </c>
      <c r="C19" s="45"/>
      <c r="D19" s="45"/>
      <c r="E19" s="245">
        <f t="shared" si="0"/>
        <v>0</v>
      </c>
      <c r="F19" s="246">
        <f t="shared" si="1"/>
        <v>0</v>
      </c>
      <c r="G19" s="246">
        <f>'Tabel NBM'!H19</f>
        <v>0</v>
      </c>
      <c r="H19" s="448">
        <f t="shared" si="2"/>
        <v>0</v>
      </c>
      <c r="I19" s="403" t="str">
        <f t="shared" si="3"/>
        <v>EKSPOR</v>
      </c>
      <c r="J19" s="246"/>
      <c r="K19" s="246"/>
    </row>
    <row r="20" spans="1:11" x14ac:dyDescent="0.25">
      <c r="A20" s="297">
        <v>6</v>
      </c>
      <c r="B20" s="282" t="s">
        <v>57</v>
      </c>
      <c r="C20" s="45"/>
      <c r="D20" s="345"/>
      <c r="E20" s="245">
        <f t="shared" si="0"/>
        <v>0</v>
      </c>
      <c r="F20" s="246">
        <f t="shared" si="1"/>
        <v>0</v>
      </c>
      <c r="G20" s="246">
        <f>'Tabel NBM'!H20</f>
        <v>982.58214417734735</v>
      </c>
      <c r="H20" s="448">
        <f t="shared" si="2"/>
        <v>982.58214417734735</v>
      </c>
      <c r="I20" s="403" t="str">
        <f t="shared" si="3"/>
        <v>EKSPOR</v>
      </c>
      <c r="J20" s="246"/>
      <c r="K20" s="246"/>
    </row>
    <row r="21" spans="1:11" x14ac:dyDescent="0.25">
      <c r="A21" s="297">
        <v>7</v>
      </c>
      <c r="B21" s="282" t="s">
        <v>372</v>
      </c>
      <c r="C21" s="282"/>
      <c r="D21" s="345"/>
      <c r="E21" s="245">
        <f t="shared" si="0"/>
        <v>0</v>
      </c>
      <c r="F21" s="246">
        <f t="shared" si="1"/>
        <v>0</v>
      </c>
      <c r="G21" s="246">
        <f>'Tabel NBM'!H21</f>
        <v>0</v>
      </c>
      <c r="H21" s="448">
        <f t="shared" si="2"/>
        <v>0</v>
      </c>
      <c r="I21" s="403" t="str">
        <f t="shared" si="3"/>
        <v>EKSPOR</v>
      </c>
      <c r="J21" s="246"/>
      <c r="K21" s="246"/>
    </row>
    <row r="22" spans="1:11" x14ac:dyDescent="0.25">
      <c r="A22" s="297">
        <v>8</v>
      </c>
      <c r="B22" s="282" t="s">
        <v>368</v>
      </c>
      <c r="C22" s="45"/>
      <c r="D22" s="45"/>
      <c r="E22" s="245">
        <f t="shared" si="0"/>
        <v>0</v>
      </c>
      <c r="F22" s="246">
        <f t="shared" si="1"/>
        <v>0</v>
      </c>
      <c r="G22" s="246">
        <f>'Tabel NBM'!H22</f>
        <v>0</v>
      </c>
      <c r="H22" s="448">
        <f t="shared" si="2"/>
        <v>0</v>
      </c>
      <c r="I22" s="403" t="str">
        <f t="shared" si="3"/>
        <v>EKSPOR</v>
      </c>
      <c r="J22" s="246"/>
      <c r="K22" s="246"/>
    </row>
    <row r="23" spans="1:11" x14ac:dyDescent="0.25">
      <c r="A23" s="297"/>
      <c r="B23" s="282"/>
      <c r="C23" s="282"/>
      <c r="D23" s="282"/>
      <c r="E23" s="245"/>
      <c r="F23" s="246"/>
      <c r="G23" s="246"/>
      <c r="H23" s="448"/>
      <c r="I23" s="403"/>
      <c r="J23" s="246"/>
      <c r="K23" s="246"/>
    </row>
    <row r="24" spans="1:11" x14ac:dyDescent="0.25">
      <c r="A24" s="336" t="s">
        <v>59</v>
      </c>
      <c r="B24" s="282"/>
      <c r="C24" s="282"/>
      <c r="D24" s="282"/>
      <c r="E24" s="245"/>
      <c r="F24" s="246"/>
      <c r="G24" s="246"/>
      <c r="H24" s="448"/>
      <c r="I24" s="403"/>
      <c r="J24" s="246"/>
      <c r="K24" s="246"/>
    </row>
    <row r="25" spans="1:11" x14ac:dyDescent="0.25">
      <c r="A25" s="297">
        <v>9</v>
      </c>
      <c r="B25" s="282" t="s">
        <v>527</v>
      </c>
      <c r="C25" s="45"/>
      <c r="D25" s="345"/>
      <c r="E25" s="245">
        <f t="shared" si="0"/>
        <v>0</v>
      </c>
      <c r="F25" s="246">
        <f t="shared" si="1"/>
        <v>0</v>
      </c>
      <c r="G25" s="246">
        <f>'Tabel NBM'!H25</f>
        <v>2909</v>
      </c>
      <c r="H25" s="448">
        <f t="shared" si="2"/>
        <v>2909</v>
      </c>
      <c r="I25" s="403" t="str">
        <f t="shared" si="3"/>
        <v>EKSPOR</v>
      </c>
      <c r="J25" s="246"/>
      <c r="K25" s="246"/>
    </row>
    <row r="26" spans="1:11" x14ac:dyDescent="0.25">
      <c r="A26" s="297">
        <v>10</v>
      </c>
      <c r="B26" s="282" t="s">
        <v>524</v>
      </c>
      <c r="C26" s="45"/>
      <c r="D26" s="45"/>
      <c r="E26" s="245">
        <f t="shared" si="0"/>
        <v>0</v>
      </c>
      <c r="F26" s="246">
        <f t="shared" si="1"/>
        <v>0</v>
      </c>
      <c r="G26" s="246">
        <f>'Tabel NBM'!H26</f>
        <v>0</v>
      </c>
      <c r="H26" s="448">
        <f t="shared" si="2"/>
        <v>0</v>
      </c>
      <c r="I26" s="403" t="str">
        <f t="shared" si="3"/>
        <v>EKSPOR</v>
      </c>
      <c r="J26" s="246"/>
      <c r="K26" s="246"/>
    </row>
    <row r="27" spans="1:11" x14ac:dyDescent="0.25">
      <c r="A27" s="297"/>
      <c r="B27" s="282"/>
      <c r="C27" s="282"/>
      <c r="D27" s="282"/>
      <c r="E27" s="245"/>
      <c r="F27" s="246"/>
      <c r="G27" s="246"/>
      <c r="H27" s="448"/>
      <c r="I27" s="403"/>
      <c r="J27" s="246"/>
      <c r="K27" s="246"/>
    </row>
    <row r="28" spans="1:11" x14ac:dyDescent="0.25">
      <c r="A28" s="336" t="s">
        <v>2</v>
      </c>
      <c r="B28" s="282"/>
      <c r="C28" s="288"/>
      <c r="D28" s="288"/>
      <c r="E28" s="245"/>
      <c r="F28" s="246"/>
      <c r="G28" s="246"/>
      <c r="H28" s="448"/>
      <c r="I28" s="403"/>
      <c r="J28" s="246"/>
      <c r="K28" s="246"/>
    </row>
    <row r="29" spans="1:11" x14ac:dyDescent="0.25">
      <c r="A29" s="336"/>
      <c r="B29" s="292" t="s">
        <v>3</v>
      </c>
      <c r="C29" s="292"/>
      <c r="D29" s="292"/>
      <c r="E29" s="245"/>
      <c r="F29" s="246"/>
      <c r="G29" s="246"/>
      <c r="H29" s="448"/>
      <c r="I29" s="403"/>
      <c r="J29" s="246"/>
      <c r="K29" s="246"/>
    </row>
    <row r="30" spans="1:11" x14ac:dyDescent="0.25">
      <c r="A30" s="297">
        <v>11</v>
      </c>
      <c r="B30" s="282" t="s">
        <v>531</v>
      </c>
      <c r="C30" s="45"/>
      <c r="D30" s="345"/>
      <c r="E30" s="245">
        <f t="shared" si="0"/>
        <v>0</v>
      </c>
      <c r="F30" s="246">
        <f t="shared" si="1"/>
        <v>0</v>
      </c>
      <c r="G30" s="246">
        <f>'Tabel NBM'!H30</f>
        <v>8.16</v>
      </c>
      <c r="H30" s="448">
        <f t="shared" si="2"/>
        <v>8.16</v>
      </c>
      <c r="I30" s="403" t="str">
        <f t="shared" si="3"/>
        <v>EKSPOR</v>
      </c>
      <c r="J30" s="246"/>
      <c r="K30" s="246"/>
    </row>
    <row r="31" spans="1:11" x14ac:dyDescent="0.25">
      <c r="A31" s="297">
        <v>12</v>
      </c>
      <c r="B31" s="282" t="s">
        <v>64</v>
      </c>
      <c r="C31" s="296"/>
      <c r="D31" s="296"/>
      <c r="E31" s="245">
        <f t="shared" si="0"/>
        <v>0</v>
      </c>
      <c r="F31" s="246">
        <f t="shared" si="1"/>
        <v>0</v>
      </c>
      <c r="G31" s="246">
        <f>'Tabel NBM'!H31</f>
        <v>1859</v>
      </c>
      <c r="H31" s="448">
        <f t="shared" si="2"/>
        <v>1859</v>
      </c>
      <c r="I31" s="403" t="str">
        <f t="shared" si="3"/>
        <v>EKSPOR</v>
      </c>
      <c r="J31" s="246"/>
      <c r="K31" s="246"/>
    </row>
    <row r="32" spans="1:11" x14ac:dyDescent="0.25">
      <c r="A32" s="297">
        <v>13</v>
      </c>
      <c r="B32" s="282" t="s">
        <v>65</v>
      </c>
      <c r="C32" s="45"/>
      <c r="D32" s="45"/>
      <c r="E32" s="245">
        <f t="shared" si="0"/>
        <v>0</v>
      </c>
      <c r="F32" s="246">
        <f t="shared" si="1"/>
        <v>0</v>
      </c>
      <c r="G32" s="246">
        <f>'Tabel NBM'!H32</f>
        <v>0</v>
      </c>
      <c r="H32" s="448">
        <f t="shared" si="2"/>
        <v>0</v>
      </c>
      <c r="I32" s="403" t="str">
        <f t="shared" si="3"/>
        <v>EKSPOR</v>
      </c>
      <c r="J32" s="246"/>
      <c r="K32" s="246"/>
    </row>
    <row r="33" spans="1:11" x14ac:dyDescent="0.25">
      <c r="A33" s="297">
        <v>14</v>
      </c>
      <c r="B33" s="282" t="s">
        <v>532</v>
      </c>
      <c r="C33" s="45"/>
      <c r="D33" s="345"/>
      <c r="E33" s="245">
        <f t="shared" si="0"/>
        <v>0</v>
      </c>
      <c r="F33" s="246">
        <f t="shared" si="1"/>
        <v>0</v>
      </c>
      <c r="G33" s="246">
        <f>'Tabel NBM'!H33</f>
        <v>0</v>
      </c>
      <c r="H33" s="448">
        <f t="shared" si="2"/>
        <v>0</v>
      </c>
      <c r="I33" s="403" t="str">
        <f t="shared" si="3"/>
        <v>EKSPOR</v>
      </c>
      <c r="J33" s="246"/>
      <c r="K33" s="246"/>
    </row>
    <row r="34" spans="1:11" x14ac:dyDescent="0.25">
      <c r="A34" s="297"/>
      <c r="B34" s="282"/>
      <c r="C34" s="282"/>
      <c r="D34" s="282"/>
      <c r="E34" s="245"/>
      <c r="F34" s="246"/>
      <c r="G34" s="246"/>
      <c r="H34" s="448"/>
      <c r="I34" s="403"/>
      <c r="J34" s="246"/>
      <c r="K34" s="246"/>
    </row>
    <row r="35" spans="1:11" x14ac:dyDescent="0.25">
      <c r="A35" s="336" t="s">
        <v>68</v>
      </c>
      <c r="B35" s="282"/>
      <c r="C35" s="282"/>
      <c r="D35" s="282"/>
      <c r="E35" s="245"/>
      <c r="F35" s="246"/>
      <c r="G35" s="246"/>
      <c r="H35" s="448"/>
      <c r="I35" s="403"/>
      <c r="J35" s="246"/>
      <c r="K35" s="246"/>
    </row>
    <row r="36" spans="1:11" x14ac:dyDescent="0.25">
      <c r="A36" s="297">
        <v>15</v>
      </c>
      <c r="B36" s="293" t="s">
        <v>69</v>
      </c>
      <c r="C36" s="45"/>
      <c r="D36" s="282"/>
      <c r="E36" s="245">
        <f t="shared" si="0"/>
        <v>0</v>
      </c>
      <c r="F36" s="246">
        <f t="shared" si="1"/>
        <v>0</v>
      </c>
      <c r="G36" s="246">
        <f>'Tabel NBM'!H36</f>
        <v>285.20131178285465</v>
      </c>
      <c r="H36" s="448">
        <f t="shared" ref="H36:H51" si="4">G36-F36</f>
        <v>285.20131178285465</v>
      </c>
      <c r="I36" s="403" t="str">
        <f t="shared" ref="I36:I51" si="5">IF(H36&lt;0,"IMPOR","EKSPOR")</f>
        <v>EKSPOR</v>
      </c>
      <c r="J36" s="246"/>
      <c r="K36" s="246"/>
    </row>
    <row r="37" spans="1:11" x14ac:dyDescent="0.25">
      <c r="A37" s="297">
        <v>16</v>
      </c>
      <c r="B37" s="293" t="s">
        <v>70</v>
      </c>
      <c r="C37" s="45"/>
      <c r="D37" s="282"/>
      <c r="E37" s="245">
        <f t="shared" si="0"/>
        <v>0</v>
      </c>
      <c r="F37" s="246">
        <f t="shared" si="1"/>
        <v>0</v>
      </c>
      <c r="G37" s="246">
        <f>'Tabel NBM'!H37</f>
        <v>1467.5749902376765</v>
      </c>
      <c r="H37" s="448">
        <f t="shared" si="4"/>
        <v>1467.5749902376765</v>
      </c>
      <c r="I37" s="403" t="str">
        <f t="shared" si="5"/>
        <v>EKSPOR</v>
      </c>
      <c r="J37" s="246"/>
      <c r="K37" s="246"/>
    </row>
    <row r="38" spans="1:11" x14ac:dyDescent="0.25">
      <c r="A38" s="297">
        <v>17</v>
      </c>
      <c r="B38" s="293" t="s">
        <v>71</v>
      </c>
      <c r="C38" s="45"/>
      <c r="D38" s="282"/>
      <c r="E38" s="245">
        <f t="shared" si="0"/>
        <v>0</v>
      </c>
      <c r="F38" s="246">
        <f t="shared" si="1"/>
        <v>0</v>
      </c>
      <c r="G38" s="246">
        <f>'Tabel NBM'!H38</f>
        <v>5706.2</v>
      </c>
      <c r="H38" s="448">
        <f t="shared" si="4"/>
        <v>5706.2</v>
      </c>
      <c r="I38" s="403" t="str">
        <f t="shared" si="5"/>
        <v>EKSPOR</v>
      </c>
      <c r="J38" s="246"/>
      <c r="K38" s="246"/>
    </row>
    <row r="39" spans="1:11" x14ac:dyDescent="0.25">
      <c r="A39" s="297">
        <v>18</v>
      </c>
      <c r="B39" s="293" t="s">
        <v>72</v>
      </c>
      <c r="C39" s="45"/>
      <c r="D39" s="282"/>
      <c r="E39" s="245">
        <f t="shared" si="0"/>
        <v>0</v>
      </c>
      <c r="F39" s="246">
        <f t="shared" si="1"/>
        <v>0</v>
      </c>
      <c r="G39" s="246">
        <f>'Tabel NBM'!H39</f>
        <v>4812.8999999999996</v>
      </c>
      <c r="H39" s="448">
        <f t="shared" si="4"/>
        <v>4812.8999999999996</v>
      </c>
      <c r="I39" s="403" t="str">
        <f t="shared" si="5"/>
        <v>EKSPOR</v>
      </c>
      <c r="J39" s="246"/>
      <c r="K39" s="246"/>
    </row>
    <row r="40" spans="1:11" x14ac:dyDescent="0.25">
      <c r="A40" s="297">
        <v>19</v>
      </c>
      <c r="B40" s="293" t="s">
        <v>73</v>
      </c>
      <c r="C40" s="45"/>
      <c r="D40" s="282"/>
      <c r="E40" s="245">
        <f t="shared" si="0"/>
        <v>0</v>
      </c>
      <c r="F40" s="246">
        <f t="shared" si="1"/>
        <v>0</v>
      </c>
      <c r="G40" s="246">
        <f>'Tabel NBM'!H40</f>
        <v>10.199999999999999</v>
      </c>
      <c r="H40" s="448">
        <f t="shared" si="4"/>
        <v>10.199999999999999</v>
      </c>
      <c r="I40" s="403" t="str">
        <f t="shared" si="5"/>
        <v>EKSPOR</v>
      </c>
      <c r="J40" s="246"/>
      <c r="K40" s="246"/>
    </row>
    <row r="41" spans="1:11" x14ac:dyDescent="0.25">
      <c r="A41" s="297">
        <v>20</v>
      </c>
      <c r="B41" s="293" t="s">
        <v>74</v>
      </c>
      <c r="C41" s="45"/>
      <c r="D41" s="282"/>
      <c r="E41" s="245">
        <f t="shared" si="0"/>
        <v>0</v>
      </c>
      <c r="F41" s="246">
        <f t="shared" si="1"/>
        <v>0</v>
      </c>
      <c r="G41" s="246">
        <f>'Tabel NBM'!H41</f>
        <v>8</v>
      </c>
      <c r="H41" s="448">
        <f t="shared" si="4"/>
        <v>8</v>
      </c>
      <c r="I41" s="403" t="str">
        <f t="shared" si="5"/>
        <v>EKSPOR</v>
      </c>
      <c r="J41" s="246"/>
      <c r="K41" s="246"/>
    </row>
    <row r="42" spans="1:11" x14ac:dyDescent="0.25">
      <c r="A42" s="297">
        <v>21</v>
      </c>
      <c r="B42" s="293" t="s">
        <v>75</v>
      </c>
      <c r="C42" s="45"/>
      <c r="D42" s="282"/>
      <c r="E42" s="245">
        <f t="shared" si="0"/>
        <v>0</v>
      </c>
      <c r="F42" s="246">
        <f t="shared" si="1"/>
        <v>0</v>
      </c>
      <c r="G42" s="246">
        <f>'Tabel NBM'!H42</f>
        <v>284.37000237784304</v>
      </c>
      <c r="H42" s="448">
        <f t="shared" si="4"/>
        <v>284.37000237784304</v>
      </c>
      <c r="I42" s="403" t="str">
        <f t="shared" si="5"/>
        <v>EKSPOR</v>
      </c>
      <c r="J42" s="246"/>
      <c r="K42" s="246"/>
    </row>
    <row r="43" spans="1:11" x14ac:dyDescent="0.25">
      <c r="A43" s="297">
        <v>22</v>
      </c>
      <c r="B43" s="293" t="s">
        <v>76</v>
      </c>
      <c r="C43" s="45"/>
      <c r="D43" s="282"/>
      <c r="E43" s="245">
        <f t="shared" si="0"/>
        <v>0</v>
      </c>
      <c r="F43" s="246">
        <f t="shared" si="1"/>
        <v>0</v>
      </c>
      <c r="G43" s="246">
        <f>'Tabel NBM'!H43</f>
        <v>75.099999999999994</v>
      </c>
      <c r="H43" s="448">
        <f t="shared" si="4"/>
        <v>75.099999999999994</v>
      </c>
      <c r="I43" s="403" t="str">
        <f t="shared" si="5"/>
        <v>EKSPOR</v>
      </c>
      <c r="J43" s="246"/>
      <c r="K43" s="246"/>
    </row>
    <row r="44" spans="1:11" x14ac:dyDescent="0.25">
      <c r="A44" s="297">
        <v>23</v>
      </c>
      <c r="B44" s="293" t="s">
        <v>77</v>
      </c>
      <c r="C44" s="45"/>
      <c r="D44" s="282"/>
      <c r="E44" s="245">
        <f t="shared" si="0"/>
        <v>0</v>
      </c>
      <c r="F44" s="246">
        <f t="shared" si="1"/>
        <v>0</v>
      </c>
      <c r="G44" s="246">
        <f>'Tabel NBM'!H44</f>
        <v>1720.7869798366312</v>
      </c>
      <c r="H44" s="448">
        <f t="shared" si="4"/>
        <v>1720.7869798366312</v>
      </c>
      <c r="I44" s="403" t="str">
        <f t="shared" si="5"/>
        <v>EKSPOR</v>
      </c>
      <c r="J44" s="246"/>
      <c r="K44" s="246"/>
    </row>
    <row r="45" spans="1:11" x14ac:dyDescent="0.25">
      <c r="A45" s="297">
        <v>24</v>
      </c>
      <c r="B45" s="293" t="s">
        <v>78</v>
      </c>
      <c r="C45" s="45"/>
      <c r="D45" s="282"/>
      <c r="E45" s="245">
        <f t="shared" si="0"/>
        <v>0</v>
      </c>
      <c r="F45" s="246">
        <f t="shared" si="1"/>
        <v>0</v>
      </c>
      <c r="G45" s="246">
        <f>'Tabel NBM'!H45</f>
        <v>1392.3395479455239</v>
      </c>
      <c r="H45" s="448">
        <f t="shared" si="4"/>
        <v>1392.3395479455239</v>
      </c>
      <c r="I45" s="403" t="str">
        <f t="shared" si="5"/>
        <v>EKSPOR</v>
      </c>
      <c r="J45" s="246"/>
      <c r="K45" s="246"/>
    </row>
    <row r="46" spans="1:11" x14ac:dyDescent="0.25">
      <c r="A46" s="297">
        <v>25</v>
      </c>
      <c r="B46" s="293" t="s">
        <v>79</v>
      </c>
      <c r="C46" s="45"/>
      <c r="D46" s="282"/>
      <c r="E46" s="245">
        <f t="shared" si="0"/>
        <v>0</v>
      </c>
      <c r="F46" s="246">
        <f t="shared" si="1"/>
        <v>0</v>
      </c>
      <c r="G46" s="246">
        <f>'Tabel NBM'!H46</f>
        <v>374</v>
      </c>
      <c r="H46" s="448">
        <f t="shared" si="4"/>
        <v>374</v>
      </c>
      <c r="I46" s="403" t="str">
        <f t="shared" si="5"/>
        <v>EKSPOR</v>
      </c>
      <c r="J46" s="246"/>
      <c r="K46" s="246"/>
    </row>
    <row r="47" spans="1:11" x14ac:dyDescent="0.25">
      <c r="A47" s="297">
        <v>26</v>
      </c>
      <c r="B47" s="293" t="s">
        <v>80</v>
      </c>
      <c r="C47" s="45"/>
      <c r="D47" s="282"/>
      <c r="E47" s="245">
        <f t="shared" si="0"/>
        <v>0</v>
      </c>
      <c r="F47" s="246">
        <f t="shared" si="1"/>
        <v>0</v>
      </c>
      <c r="G47" s="246">
        <f>'Tabel NBM'!H47</f>
        <v>932.06330359921458</v>
      </c>
      <c r="H47" s="448">
        <f t="shared" si="4"/>
        <v>932.06330359921458</v>
      </c>
      <c r="I47" s="403" t="str">
        <f t="shared" si="5"/>
        <v>EKSPOR</v>
      </c>
      <c r="J47" s="246"/>
      <c r="K47" s="246"/>
    </row>
    <row r="48" spans="1:11" x14ac:dyDescent="0.25">
      <c r="A48" s="297">
        <v>27</v>
      </c>
      <c r="B48" s="293" t="s">
        <v>81</v>
      </c>
      <c r="C48" s="45"/>
      <c r="D48" s="282"/>
      <c r="E48" s="245">
        <f t="shared" si="0"/>
        <v>0</v>
      </c>
      <c r="F48" s="246">
        <f t="shared" si="1"/>
        <v>0</v>
      </c>
      <c r="G48" s="246">
        <f>'Tabel NBM'!H48</f>
        <v>10.6</v>
      </c>
      <c r="H48" s="448">
        <f t="shared" si="4"/>
        <v>10.6</v>
      </c>
      <c r="I48" s="403" t="str">
        <f t="shared" si="5"/>
        <v>EKSPOR</v>
      </c>
      <c r="J48" s="246"/>
      <c r="K48" s="246"/>
    </row>
    <row r="49" spans="1:11" x14ac:dyDescent="0.25">
      <c r="A49" s="297">
        <v>28</v>
      </c>
      <c r="B49" s="293" t="s">
        <v>4</v>
      </c>
      <c r="C49" s="45"/>
      <c r="D49" s="282"/>
      <c r="E49" s="245">
        <f t="shared" si="0"/>
        <v>0</v>
      </c>
      <c r="F49" s="246">
        <f t="shared" si="1"/>
        <v>0</v>
      </c>
      <c r="G49" s="246">
        <f>'Tabel NBM'!H49</f>
        <v>88.4</v>
      </c>
      <c r="H49" s="448">
        <f t="shared" si="4"/>
        <v>88.4</v>
      </c>
      <c r="I49" s="403" t="str">
        <f t="shared" si="5"/>
        <v>EKSPOR</v>
      </c>
      <c r="J49" s="246"/>
      <c r="K49" s="246"/>
    </row>
    <row r="50" spans="1:11" x14ac:dyDescent="0.25">
      <c r="A50" s="297">
        <v>29</v>
      </c>
      <c r="B50" s="293" t="s">
        <v>82</v>
      </c>
      <c r="C50" s="45"/>
      <c r="D50" s="282"/>
      <c r="E50" s="245">
        <f t="shared" si="0"/>
        <v>0</v>
      </c>
      <c r="F50" s="246">
        <f t="shared" si="1"/>
        <v>0</v>
      </c>
      <c r="G50" s="246">
        <f>'Tabel NBM'!H50</f>
        <v>1752.5785386854404</v>
      </c>
      <c r="H50" s="448">
        <f t="shared" si="4"/>
        <v>1752.5785386854404</v>
      </c>
      <c r="I50" s="403" t="str">
        <f t="shared" si="5"/>
        <v>EKSPOR</v>
      </c>
      <c r="J50" s="246"/>
      <c r="K50" s="246"/>
    </row>
    <row r="51" spans="1:11" x14ac:dyDescent="0.25">
      <c r="A51" s="297">
        <v>30</v>
      </c>
      <c r="B51" s="293" t="s">
        <v>83</v>
      </c>
      <c r="C51" s="45"/>
      <c r="D51" s="282"/>
      <c r="E51" s="245"/>
      <c r="F51" s="246">
        <f t="shared" si="1"/>
        <v>0</v>
      </c>
      <c r="G51" s="246">
        <f>'Tabel NBM'!H51</f>
        <v>0.8</v>
      </c>
      <c r="H51" s="448">
        <f t="shared" si="4"/>
        <v>0.8</v>
      </c>
      <c r="I51" s="403" t="str">
        <f t="shared" si="5"/>
        <v>EKSPOR</v>
      </c>
      <c r="J51" s="246"/>
      <c r="K51" s="246"/>
    </row>
    <row r="52" spans="1:11" x14ac:dyDescent="0.25">
      <c r="A52" s="297">
        <v>31</v>
      </c>
      <c r="B52" s="293" t="s">
        <v>84</v>
      </c>
      <c r="C52" s="45"/>
      <c r="D52" s="45"/>
      <c r="E52" s="245">
        <f t="shared" ref="E52:E97" si="6">D52*110%</f>
        <v>0</v>
      </c>
      <c r="F52" s="246">
        <f t="shared" si="1"/>
        <v>0</v>
      </c>
      <c r="G52" s="246">
        <f>'Tabel NBM'!H52</f>
        <v>398.5</v>
      </c>
      <c r="H52" s="448">
        <f t="shared" si="2"/>
        <v>398.5</v>
      </c>
      <c r="I52" s="403" t="str">
        <f t="shared" si="3"/>
        <v>EKSPOR</v>
      </c>
      <c r="J52" s="246"/>
      <c r="K52" s="246"/>
    </row>
    <row r="53" spans="1:11" x14ac:dyDescent="0.25">
      <c r="A53" s="297">
        <v>32</v>
      </c>
      <c r="B53" s="293" t="s">
        <v>85</v>
      </c>
      <c r="C53" s="45"/>
      <c r="D53" s="45"/>
      <c r="E53" s="245">
        <f t="shared" si="6"/>
        <v>0</v>
      </c>
      <c r="F53" s="246">
        <f t="shared" si="1"/>
        <v>0</v>
      </c>
      <c r="G53" s="246">
        <f>'Tabel NBM'!H53</f>
        <v>632.70000000000005</v>
      </c>
      <c r="H53" s="448">
        <f t="shared" si="2"/>
        <v>632.70000000000005</v>
      </c>
      <c r="I53" s="403" t="str">
        <f t="shared" si="3"/>
        <v>EKSPOR</v>
      </c>
      <c r="J53" s="246"/>
      <c r="K53" s="246"/>
    </row>
    <row r="54" spans="1:11" x14ac:dyDescent="0.25">
      <c r="A54" s="297">
        <v>33</v>
      </c>
      <c r="B54" s="293" t="s">
        <v>86</v>
      </c>
      <c r="C54" s="45"/>
      <c r="D54" s="45"/>
      <c r="E54" s="245">
        <f t="shared" si="6"/>
        <v>0</v>
      </c>
      <c r="F54" s="246">
        <f t="shared" si="1"/>
        <v>0</v>
      </c>
      <c r="G54" s="246">
        <f>'Tabel NBM'!H54</f>
        <v>0</v>
      </c>
      <c r="H54" s="448">
        <f t="shared" si="2"/>
        <v>0</v>
      </c>
      <c r="I54" s="403" t="str">
        <f t="shared" si="3"/>
        <v>EKSPOR</v>
      </c>
      <c r="J54" s="246"/>
      <c r="K54" s="246"/>
    </row>
    <row r="55" spans="1:11" x14ac:dyDescent="0.25">
      <c r="A55" s="297">
        <v>34</v>
      </c>
      <c r="B55" s="293" t="s">
        <v>87</v>
      </c>
      <c r="C55" s="45"/>
      <c r="D55" s="45"/>
      <c r="E55" s="245">
        <f t="shared" si="6"/>
        <v>0</v>
      </c>
      <c r="F55" s="246">
        <f t="shared" si="1"/>
        <v>0</v>
      </c>
      <c r="G55" s="246">
        <f>'Tabel NBM'!H55</f>
        <v>6.9</v>
      </c>
      <c r="H55" s="448">
        <f t="shared" si="2"/>
        <v>6.9</v>
      </c>
      <c r="I55" s="403" t="str">
        <f t="shared" si="3"/>
        <v>EKSPOR</v>
      </c>
      <c r="J55" s="246"/>
      <c r="K55" s="246"/>
    </row>
    <row r="56" spans="1:11" x14ac:dyDescent="0.25">
      <c r="A56" s="297">
        <v>35</v>
      </c>
      <c r="B56" s="293" t="s">
        <v>88</v>
      </c>
      <c r="C56" s="45"/>
      <c r="D56" s="45"/>
      <c r="E56" s="245">
        <f t="shared" si="6"/>
        <v>0</v>
      </c>
      <c r="F56" s="246">
        <f t="shared" si="1"/>
        <v>0</v>
      </c>
      <c r="G56" s="246">
        <f>'Tabel NBM'!H56</f>
        <v>38.6</v>
      </c>
      <c r="H56" s="448">
        <f t="shared" si="2"/>
        <v>38.6</v>
      </c>
      <c r="I56" s="403" t="str">
        <f t="shared" si="3"/>
        <v>EKSPOR</v>
      </c>
      <c r="J56" s="246"/>
      <c r="K56" s="246"/>
    </row>
    <row r="57" spans="1:11" x14ac:dyDescent="0.25">
      <c r="A57" s="297">
        <v>36</v>
      </c>
      <c r="B57" s="293" t="s">
        <v>89</v>
      </c>
      <c r="C57" s="45"/>
      <c r="D57" s="45"/>
      <c r="E57" s="245">
        <f t="shared" si="6"/>
        <v>0</v>
      </c>
      <c r="F57" s="246">
        <f t="shared" si="1"/>
        <v>0</v>
      </c>
      <c r="G57" s="246">
        <f>'Tabel NBM'!H57</f>
        <v>183.23814768044039</v>
      </c>
      <c r="H57" s="448">
        <f t="shared" si="2"/>
        <v>183.23814768044039</v>
      </c>
      <c r="I57" s="403" t="str">
        <f t="shared" si="3"/>
        <v>EKSPOR</v>
      </c>
      <c r="J57" s="246"/>
      <c r="K57" s="246"/>
    </row>
    <row r="58" spans="1:11" x14ac:dyDescent="0.25">
      <c r="A58" s="297">
        <v>37</v>
      </c>
      <c r="B58" s="293" t="s">
        <v>90</v>
      </c>
      <c r="C58" s="45"/>
      <c r="D58" s="45"/>
      <c r="E58" s="245">
        <f t="shared" si="6"/>
        <v>0</v>
      </c>
      <c r="F58" s="246">
        <f t="shared" si="1"/>
        <v>0</v>
      </c>
      <c r="G58" s="246">
        <f>'Tabel NBM'!H58</f>
        <v>87</v>
      </c>
      <c r="H58" s="448">
        <f t="shared" si="2"/>
        <v>87</v>
      </c>
      <c r="I58" s="403" t="str">
        <f t="shared" si="3"/>
        <v>EKSPOR</v>
      </c>
      <c r="J58" s="246"/>
      <c r="K58" s="246"/>
    </row>
    <row r="59" spans="1:11" x14ac:dyDescent="0.25">
      <c r="A59" s="297">
        <v>38</v>
      </c>
      <c r="B59" s="293" t="s">
        <v>91</v>
      </c>
      <c r="C59" s="45"/>
      <c r="D59" s="45"/>
      <c r="E59" s="245">
        <f t="shared" si="6"/>
        <v>0</v>
      </c>
      <c r="F59" s="246">
        <f t="shared" si="1"/>
        <v>0</v>
      </c>
      <c r="G59" s="246">
        <f>'Tabel NBM'!H59</f>
        <v>0</v>
      </c>
      <c r="H59" s="448">
        <f t="shared" si="2"/>
        <v>0</v>
      </c>
      <c r="I59" s="403" t="str">
        <f t="shared" si="3"/>
        <v>EKSPOR</v>
      </c>
      <c r="J59" s="246"/>
      <c r="K59" s="246"/>
    </row>
    <row r="60" spans="1:11" x14ac:dyDescent="0.25">
      <c r="A60" s="297">
        <v>39</v>
      </c>
      <c r="B60" s="293" t="s">
        <v>92</v>
      </c>
      <c r="C60" s="45"/>
      <c r="D60" s="45"/>
      <c r="E60" s="245">
        <f t="shared" si="6"/>
        <v>0</v>
      </c>
      <c r="F60" s="246">
        <f t="shared" si="1"/>
        <v>0</v>
      </c>
      <c r="G60" s="246">
        <f>'Tabel NBM'!H60</f>
        <v>0</v>
      </c>
      <c r="H60" s="448">
        <f t="shared" si="2"/>
        <v>0</v>
      </c>
      <c r="I60" s="403" t="str">
        <f t="shared" si="3"/>
        <v>EKSPOR</v>
      </c>
      <c r="J60" s="246"/>
      <c r="K60" s="246"/>
    </row>
    <row r="61" spans="1:11" x14ac:dyDescent="0.25">
      <c r="A61" s="297">
        <v>40</v>
      </c>
      <c r="B61" s="293" t="s">
        <v>5</v>
      </c>
      <c r="C61" s="45"/>
      <c r="D61" s="45"/>
      <c r="E61" s="245">
        <f t="shared" si="6"/>
        <v>0</v>
      </c>
      <c r="F61" s="246">
        <f t="shared" si="1"/>
        <v>0</v>
      </c>
      <c r="G61" s="246">
        <f>'Tabel NBM'!H61</f>
        <v>7</v>
      </c>
      <c r="H61" s="448">
        <f t="shared" si="2"/>
        <v>7</v>
      </c>
      <c r="I61" s="403" t="str">
        <f t="shared" si="3"/>
        <v>EKSPOR</v>
      </c>
      <c r="J61" s="246"/>
      <c r="K61" s="246"/>
    </row>
    <row r="62" spans="1:11" x14ac:dyDescent="0.25">
      <c r="A62" s="297">
        <v>41</v>
      </c>
      <c r="B62" s="293" t="s">
        <v>6</v>
      </c>
      <c r="C62" s="45"/>
      <c r="D62" s="45"/>
      <c r="E62" s="245">
        <f t="shared" si="6"/>
        <v>0</v>
      </c>
      <c r="F62" s="246">
        <f t="shared" si="1"/>
        <v>0</v>
      </c>
      <c r="G62" s="246">
        <f>'Tabel NBM'!H62</f>
        <v>10</v>
      </c>
      <c r="H62" s="448">
        <f t="shared" si="2"/>
        <v>10</v>
      </c>
      <c r="I62" s="403" t="str">
        <f t="shared" si="3"/>
        <v>EKSPOR</v>
      </c>
      <c r="J62" s="246"/>
      <c r="K62" s="246"/>
    </row>
    <row r="63" spans="1:11" x14ac:dyDescent="0.25">
      <c r="A63" s="297">
        <v>42</v>
      </c>
      <c r="B63" s="293" t="s">
        <v>7</v>
      </c>
      <c r="C63" s="45"/>
      <c r="D63" s="45"/>
      <c r="E63" s="245">
        <f t="shared" si="6"/>
        <v>0</v>
      </c>
      <c r="F63" s="246">
        <f t="shared" si="1"/>
        <v>0</v>
      </c>
      <c r="G63" s="246">
        <f>'Tabel NBM'!H63</f>
        <v>0</v>
      </c>
      <c r="H63" s="448">
        <f t="shared" si="2"/>
        <v>0</v>
      </c>
      <c r="I63" s="403" t="str">
        <f t="shared" si="3"/>
        <v>EKSPOR</v>
      </c>
      <c r="J63" s="246"/>
      <c r="K63" s="246"/>
    </row>
    <row r="64" spans="1:11" x14ac:dyDescent="0.25">
      <c r="A64" s="297">
        <v>43</v>
      </c>
      <c r="B64" s="293" t="s">
        <v>93</v>
      </c>
      <c r="C64" s="45"/>
      <c r="D64" s="45"/>
      <c r="E64" s="245">
        <f t="shared" si="6"/>
        <v>0</v>
      </c>
      <c r="F64" s="246">
        <f t="shared" si="1"/>
        <v>0</v>
      </c>
      <c r="G64" s="246">
        <f>'Tabel NBM'!H64</f>
        <v>0</v>
      </c>
      <c r="H64" s="448">
        <f t="shared" si="2"/>
        <v>0</v>
      </c>
      <c r="I64" s="403" t="str">
        <f t="shared" si="3"/>
        <v>EKSPOR</v>
      </c>
      <c r="J64" s="246"/>
      <c r="K64" s="246"/>
    </row>
    <row r="65" spans="1:11" x14ac:dyDescent="0.25">
      <c r="A65" s="297">
        <v>44</v>
      </c>
      <c r="B65" s="294" t="s">
        <v>8</v>
      </c>
      <c r="C65" s="45"/>
      <c r="D65" s="45"/>
      <c r="E65" s="245">
        <f t="shared" si="6"/>
        <v>0</v>
      </c>
      <c r="F65" s="246">
        <f t="shared" si="1"/>
        <v>0</v>
      </c>
      <c r="G65" s="246">
        <f>'Tabel NBM'!H65</f>
        <v>50</v>
      </c>
      <c r="H65" s="448">
        <f t="shared" si="2"/>
        <v>50</v>
      </c>
      <c r="I65" s="403" t="str">
        <f t="shared" si="3"/>
        <v>EKSPOR</v>
      </c>
      <c r="J65" s="246"/>
      <c r="K65" s="246"/>
    </row>
    <row r="66" spans="1:11" x14ac:dyDescent="0.25">
      <c r="A66" s="297">
        <v>45</v>
      </c>
      <c r="B66" s="293" t="s">
        <v>9</v>
      </c>
      <c r="C66" s="45"/>
      <c r="D66" s="45"/>
      <c r="E66" s="245">
        <f t="shared" si="6"/>
        <v>0</v>
      </c>
      <c r="F66" s="246">
        <f t="shared" si="1"/>
        <v>0</v>
      </c>
      <c r="G66" s="246">
        <f>'Tabel NBM'!H66</f>
        <v>0</v>
      </c>
      <c r="H66" s="448">
        <f t="shared" si="2"/>
        <v>0</v>
      </c>
      <c r="I66" s="403" t="str">
        <f t="shared" si="3"/>
        <v>EKSPOR</v>
      </c>
      <c r="J66" s="246"/>
      <c r="K66" s="246"/>
    </row>
    <row r="67" spans="1:11" x14ac:dyDescent="0.25">
      <c r="A67" s="297">
        <v>46</v>
      </c>
      <c r="B67" s="293" t="s">
        <v>10</v>
      </c>
      <c r="C67" s="45"/>
      <c r="D67" s="45"/>
      <c r="E67" s="245">
        <f t="shared" si="6"/>
        <v>0</v>
      </c>
      <c r="F67" s="246">
        <f t="shared" si="1"/>
        <v>0</v>
      </c>
      <c r="G67" s="246">
        <f>'Tabel NBM'!H67</f>
        <v>0</v>
      </c>
      <c r="H67" s="448">
        <f t="shared" si="2"/>
        <v>0</v>
      </c>
      <c r="I67" s="403" t="str">
        <f t="shared" si="3"/>
        <v>EKSPOR</v>
      </c>
      <c r="J67" s="246"/>
      <c r="K67" s="246"/>
    </row>
    <row r="68" spans="1:11" x14ac:dyDescent="0.25">
      <c r="A68" s="297">
        <v>47</v>
      </c>
      <c r="B68" s="293" t="s">
        <v>11</v>
      </c>
      <c r="C68" s="45"/>
      <c r="D68" s="45"/>
      <c r="E68" s="245">
        <f t="shared" si="6"/>
        <v>0</v>
      </c>
      <c r="F68" s="246">
        <f t="shared" si="1"/>
        <v>0</v>
      </c>
      <c r="G68" s="246">
        <f>'Tabel NBM'!H68</f>
        <v>0</v>
      </c>
      <c r="H68" s="448">
        <f t="shared" si="2"/>
        <v>0</v>
      </c>
      <c r="I68" s="403" t="str">
        <f t="shared" si="3"/>
        <v>EKSPOR</v>
      </c>
      <c r="J68" s="246"/>
      <c r="K68" s="246"/>
    </row>
    <row r="69" spans="1:11" x14ac:dyDescent="0.25">
      <c r="A69" s="297">
        <v>48</v>
      </c>
      <c r="B69" s="293" t="s">
        <v>12</v>
      </c>
      <c r="C69" s="45"/>
      <c r="D69" s="45"/>
      <c r="E69" s="245">
        <f t="shared" si="6"/>
        <v>0</v>
      </c>
      <c r="F69" s="246">
        <f t="shared" si="1"/>
        <v>0</v>
      </c>
      <c r="G69" s="246">
        <f>'Tabel NBM'!H69</f>
        <v>0</v>
      </c>
      <c r="H69" s="448">
        <f t="shared" si="2"/>
        <v>0</v>
      </c>
      <c r="I69" s="403" t="str">
        <f t="shared" si="3"/>
        <v>EKSPOR</v>
      </c>
      <c r="J69" s="246"/>
      <c r="K69" s="246"/>
    </row>
    <row r="70" spans="1:11" x14ac:dyDescent="0.25">
      <c r="A70" s="297">
        <v>49</v>
      </c>
      <c r="B70" s="293" t="s">
        <v>13</v>
      </c>
      <c r="C70" s="45"/>
      <c r="D70" s="45"/>
      <c r="E70" s="245">
        <f t="shared" si="6"/>
        <v>0</v>
      </c>
      <c r="F70" s="246">
        <f t="shared" si="1"/>
        <v>0</v>
      </c>
      <c r="G70" s="246">
        <f>'Tabel NBM'!H70</f>
        <v>126</v>
      </c>
      <c r="H70" s="448">
        <f t="shared" si="2"/>
        <v>126</v>
      </c>
      <c r="I70" s="403" t="str">
        <f t="shared" si="3"/>
        <v>EKSPOR</v>
      </c>
      <c r="J70" s="246"/>
      <c r="K70" s="246"/>
    </row>
    <row r="71" spans="1:11" x14ac:dyDescent="0.25">
      <c r="A71" s="297">
        <v>50</v>
      </c>
      <c r="B71" s="293" t="s">
        <v>14</v>
      </c>
      <c r="C71" s="45"/>
      <c r="D71" s="45"/>
      <c r="E71" s="245">
        <f t="shared" si="6"/>
        <v>0</v>
      </c>
      <c r="F71" s="246">
        <f t="shared" si="1"/>
        <v>0</v>
      </c>
      <c r="G71" s="246">
        <f>'Tabel NBM'!H71</f>
        <v>0</v>
      </c>
      <c r="H71" s="448">
        <f t="shared" si="2"/>
        <v>0</v>
      </c>
      <c r="I71" s="403" t="str">
        <f t="shared" si="3"/>
        <v>EKSPOR</v>
      </c>
      <c r="J71" s="246"/>
      <c r="K71" s="246"/>
    </row>
    <row r="72" spans="1:11" x14ac:dyDescent="0.25">
      <c r="A72" s="297">
        <v>51</v>
      </c>
      <c r="B72" s="293" t="s">
        <v>15</v>
      </c>
      <c r="C72" s="45"/>
      <c r="D72" s="45"/>
      <c r="E72" s="245">
        <f t="shared" si="6"/>
        <v>0</v>
      </c>
      <c r="F72" s="246">
        <f t="shared" si="1"/>
        <v>0</v>
      </c>
      <c r="G72" s="246">
        <f>'Tabel NBM'!H72</f>
        <v>79</v>
      </c>
      <c r="H72" s="448">
        <f t="shared" si="2"/>
        <v>79</v>
      </c>
      <c r="I72" s="403" t="str">
        <f t="shared" si="3"/>
        <v>EKSPOR</v>
      </c>
      <c r="J72" s="246"/>
      <c r="K72" s="246"/>
    </row>
    <row r="73" spans="1:11" x14ac:dyDescent="0.25">
      <c r="A73" s="297">
        <v>52</v>
      </c>
      <c r="B73" s="349" t="s">
        <v>16</v>
      </c>
      <c r="C73" s="45"/>
      <c r="D73" s="45"/>
      <c r="E73" s="245">
        <f t="shared" si="6"/>
        <v>0</v>
      </c>
      <c r="F73" s="246">
        <f t="shared" si="1"/>
        <v>0</v>
      </c>
      <c r="G73" s="246">
        <f>'Tabel NBM'!H73</f>
        <v>125</v>
      </c>
      <c r="H73" s="448">
        <f t="shared" si="2"/>
        <v>125</v>
      </c>
      <c r="I73" s="403" t="str">
        <f t="shared" si="3"/>
        <v>EKSPOR</v>
      </c>
      <c r="J73" s="246"/>
      <c r="K73" s="246"/>
    </row>
    <row r="74" spans="1:11" x14ac:dyDescent="0.25">
      <c r="A74" s="297">
        <v>53</v>
      </c>
      <c r="B74" s="349" t="s">
        <v>17</v>
      </c>
      <c r="C74" s="45"/>
      <c r="D74" s="45"/>
      <c r="E74" s="245">
        <f t="shared" si="6"/>
        <v>0</v>
      </c>
      <c r="F74" s="246">
        <f t="shared" si="1"/>
        <v>0</v>
      </c>
      <c r="G74" s="246">
        <f>'Tabel NBM'!H74</f>
        <v>0</v>
      </c>
      <c r="H74" s="448">
        <f t="shared" si="2"/>
        <v>0</v>
      </c>
      <c r="I74" s="403" t="str">
        <f t="shared" si="3"/>
        <v>EKSPOR</v>
      </c>
      <c r="J74" s="246"/>
      <c r="K74" s="246"/>
    </row>
    <row r="75" spans="1:11" x14ac:dyDescent="0.25">
      <c r="A75" s="297">
        <v>54</v>
      </c>
      <c r="B75" s="293" t="s">
        <v>18</v>
      </c>
      <c r="C75" s="45"/>
      <c r="D75" s="45"/>
      <c r="E75" s="245">
        <f t="shared" si="6"/>
        <v>0</v>
      </c>
      <c r="F75" s="246">
        <f t="shared" si="1"/>
        <v>0</v>
      </c>
      <c r="G75" s="246">
        <f>'Tabel NBM'!H75</f>
        <v>382.00386447332943</v>
      </c>
      <c r="H75" s="448">
        <f t="shared" si="2"/>
        <v>382.00386447332943</v>
      </c>
      <c r="I75" s="403" t="str">
        <f t="shared" si="3"/>
        <v>EKSPOR</v>
      </c>
      <c r="J75" s="246"/>
      <c r="K75" s="246"/>
    </row>
    <row r="76" spans="1:11" x14ac:dyDescent="0.25">
      <c r="A76" s="297"/>
      <c r="B76" s="282"/>
      <c r="C76" s="293"/>
      <c r="D76" s="45"/>
      <c r="E76" s="245"/>
      <c r="F76" s="246"/>
      <c r="G76" s="246">
        <f>'Tabel NBM'!H76</f>
        <v>0</v>
      </c>
      <c r="H76" s="448"/>
      <c r="I76" s="403"/>
      <c r="J76" s="246"/>
      <c r="K76" s="246"/>
    </row>
    <row r="77" spans="1:11" x14ac:dyDescent="0.25">
      <c r="A77" s="295" t="s">
        <v>19</v>
      </c>
      <c r="B77" s="293"/>
      <c r="C77" s="282"/>
      <c r="D77" s="45"/>
      <c r="E77" s="245"/>
      <c r="F77" s="246"/>
      <c r="G77" s="246">
        <f>'Tabel NBM'!H77</f>
        <v>0</v>
      </c>
      <c r="H77" s="448"/>
      <c r="I77" s="403"/>
      <c r="J77" s="246"/>
      <c r="K77" s="246"/>
    </row>
    <row r="78" spans="1:11" x14ac:dyDescent="0.25">
      <c r="A78" s="297">
        <v>55</v>
      </c>
      <c r="B78" s="282" t="s">
        <v>94</v>
      </c>
      <c r="C78" s="45"/>
      <c r="D78" s="45"/>
      <c r="E78" s="245">
        <f t="shared" si="6"/>
        <v>0</v>
      </c>
      <c r="F78" s="246">
        <f t="shared" ref="F78:F99" si="7">E78*$D$4</f>
        <v>0</v>
      </c>
      <c r="G78" s="246">
        <f>'Tabel NBM'!H78</f>
        <v>1465.3950400000001</v>
      </c>
      <c r="H78" s="448">
        <f t="shared" si="2"/>
        <v>1465.3950400000001</v>
      </c>
      <c r="I78" s="403" t="str">
        <f t="shared" si="3"/>
        <v>EKSPOR</v>
      </c>
      <c r="J78" s="246"/>
      <c r="K78" s="246"/>
    </row>
    <row r="79" spans="1:11" x14ac:dyDescent="0.25">
      <c r="A79" s="297">
        <v>56</v>
      </c>
      <c r="B79" s="293" t="s">
        <v>110</v>
      </c>
      <c r="C79" s="45"/>
      <c r="D79" s="45"/>
      <c r="E79" s="245">
        <f t="shared" si="6"/>
        <v>0</v>
      </c>
      <c r="F79" s="246">
        <f t="shared" ref="F79:F80" si="8">E79*$D$4</f>
        <v>0</v>
      </c>
      <c r="G79" s="246">
        <f>'Tabel NBM'!H79</f>
        <v>430</v>
      </c>
      <c r="H79" s="448">
        <f t="shared" si="2"/>
        <v>430</v>
      </c>
      <c r="I79" s="403" t="str">
        <f t="shared" si="3"/>
        <v>EKSPOR</v>
      </c>
      <c r="J79" s="246"/>
      <c r="K79" s="246"/>
    </row>
    <row r="80" spans="1:11" x14ac:dyDescent="0.25">
      <c r="A80" s="297">
        <v>57</v>
      </c>
      <c r="B80" s="293" t="s">
        <v>27</v>
      </c>
      <c r="C80" s="45"/>
      <c r="D80" s="45"/>
      <c r="E80" s="245">
        <f t="shared" si="6"/>
        <v>0</v>
      </c>
      <c r="F80" s="246">
        <f t="shared" si="8"/>
        <v>0</v>
      </c>
      <c r="G80" s="246">
        <f>'Tabel NBM'!H80</f>
        <v>0</v>
      </c>
      <c r="H80" s="448">
        <f t="shared" si="2"/>
        <v>0</v>
      </c>
      <c r="I80" s="403" t="str">
        <f t="shared" si="3"/>
        <v>EKSPOR</v>
      </c>
      <c r="J80" s="246"/>
      <c r="K80" s="246"/>
    </row>
    <row r="81" spans="1:11" x14ac:dyDescent="0.25">
      <c r="A81" s="297">
        <v>58</v>
      </c>
      <c r="B81" s="293" t="s">
        <v>95</v>
      </c>
      <c r="C81" s="45"/>
      <c r="D81" s="45"/>
      <c r="E81" s="245">
        <f t="shared" si="6"/>
        <v>0</v>
      </c>
      <c r="F81" s="246">
        <f t="shared" si="7"/>
        <v>0</v>
      </c>
      <c r="G81" s="246">
        <f>'Tabel NBM'!H81</f>
        <v>7.4</v>
      </c>
      <c r="H81" s="448">
        <f t="shared" si="2"/>
        <v>7.4</v>
      </c>
      <c r="I81" s="403" t="str">
        <f t="shared" si="3"/>
        <v>EKSPOR</v>
      </c>
      <c r="J81" s="246"/>
      <c r="K81" s="246"/>
    </row>
    <row r="82" spans="1:11" x14ac:dyDescent="0.25">
      <c r="A82" s="297">
        <v>59</v>
      </c>
      <c r="B82" s="282" t="s">
        <v>96</v>
      </c>
      <c r="C82" s="45"/>
      <c r="D82" s="45"/>
      <c r="E82" s="245">
        <f t="shared" si="6"/>
        <v>0</v>
      </c>
      <c r="F82" s="246">
        <f t="shared" si="7"/>
        <v>0</v>
      </c>
      <c r="G82" s="246">
        <f>'Tabel NBM'!H82</f>
        <v>128</v>
      </c>
      <c r="H82" s="448">
        <f t="shared" si="2"/>
        <v>128</v>
      </c>
      <c r="I82" s="403" t="str">
        <f t="shared" si="3"/>
        <v>EKSPOR</v>
      </c>
      <c r="J82" s="246"/>
      <c r="K82" s="246"/>
    </row>
    <row r="83" spans="1:11" x14ac:dyDescent="0.25">
      <c r="A83" s="297">
        <v>60</v>
      </c>
      <c r="B83" s="282" t="s">
        <v>97</v>
      </c>
      <c r="C83" s="45"/>
      <c r="D83" s="45"/>
      <c r="E83" s="245">
        <f t="shared" si="6"/>
        <v>0</v>
      </c>
      <c r="F83" s="246">
        <f t="shared" si="7"/>
        <v>0</v>
      </c>
      <c r="G83" s="246">
        <f>'Tabel NBM'!H83</f>
        <v>529.62480858847243</v>
      </c>
      <c r="H83" s="448">
        <f t="shared" si="2"/>
        <v>529.62480858847243</v>
      </c>
      <c r="I83" s="403" t="str">
        <f t="shared" si="3"/>
        <v>EKSPOR</v>
      </c>
      <c r="J83" s="246"/>
      <c r="K83" s="246"/>
    </row>
    <row r="84" spans="1:11" x14ac:dyDescent="0.25">
      <c r="A84" s="297">
        <v>61</v>
      </c>
      <c r="B84" s="282" t="s">
        <v>98</v>
      </c>
      <c r="C84" s="45"/>
      <c r="D84" s="45"/>
      <c r="E84" s="245">
        <f t="shared" si="6"/>
        <v>0</v>
      </c>
      <c r="F84" s="246">
        <f t="shared" si="7"/>
        <v>0</v>
      </c>
      <c r="G84" s="246">
        <f>'Tabel NBM'!H84</f>
        <v>1745</v>
      </c>
      <c r="H84" s="448">
        <f t="shared" si="2"/>
        <v>1745</v>
      </c>
      <c r="I84" s="403" t="str">
        <f t="shared" si="3"/>
        <v>EKSPOR</v>
      </c>
      <c r="J84" s="246"/>
      <c r="K84" s="246"/>
    </row>
    <row r="85" spans="1:11" x14ac:dyDescent="0.25">
      <c r="A85" s="297">
        <v>62</v>
      </c>
      <c r="B85" s="293" t="s">
        <v>99</v>
      </c>
      <c r="C85" s="45"/>
      <c r="D85" s="45"/>
      <c r="E85" s="245">
        <f t="shared" si="6"/>
        <v>0</v>
      </c>
      <c r="F85" s="246">
        <f t="shared" si="7"/>
        <v>0</v>
      </c>
      <c r="G85" s="246">
        <f>'Tabel NBM'!H85</f>
        <v>467.37101379105854</v>
      </c>
      <c r="H85" s="448">
        <f t="shared" si="2"/>
        <v>467.37101379105854</v>
      </c>
      <c r="I85" s="403" t="str">
        <f t="shared" si="3"/>
        <v>EKSPOR</v>
      </c>
      <c r="J85" s="246"/>
      <c r="K85" s="246"/>
    </row>
    <row r="86" spans="1:11" x14ac:dyDescent="0.25">
      <c r="A86" s="297">
        <v>63</v>
      </c>
      <c r="B86" s="293" t="s">
        <v>100</v>
      </c>
      <c r="C86" s="45"/>
      <c r="D86" s="45"/>
      <c r="E86" s="245">
        <f t="shared" si="6"/>
        <v>0</v>
      </c>
      <c r="F86" s="246">
        <f t="shared" si="7"/>
        <v>0</v>
      </c>
      <c r="G86" s="246">
        <f>'Tabel NBM'!H86</f>
        <v>1329</v>
      </c>
      <c r="H86" s="448">
        <f t="shared" si="2"/>
        <v>1329</v>
      </c>
      <c r="I86" s="403" t="str">
        <f t="shared" si="3"/>
        <v>EKSPOR</v>
      </c>
      <c r="J86" s="246"/>
      <c r="K86" s="246"/>
    </row>
    <row r="87" spans="1:11" x14ac:dyDescent="0.25">
      <c r="A87" s="297">
        <v>64</v>
      </c>
      <c r="B87" s="293" t="s">
        <v>101</v>
      </c>
      <c r="C87" s="45"/>
      <c r="D87" s="45"/>
      <c r="E87" s="245">
        <f t="shared" si="6"/>
        <v>0</v>
      </c>
      <c r="F87" s="246">
        <f t="shared" si="7"/>
        <v>0</v>
      </c>
      <c r="G87" s="246">
        <f>'Tabel NBM'!H87</f>
        <v>440.85614403821103</v>
      </c>
      <c r="H87" s="448">
        <f t="shared" si="2"/>
        <v>440.85614403821103</v>
      </c>
      <c r="I87" s="403" t="str">
        <f t="shared" si="3"/>
        <v>EKSPOR</v>
      </c>
      <c r="J87" s="246"/>
      <c r="K87" s="246"/>
    </row>
    <row r="88" spans="1:11" x14ac:dyDescent="0.25">
      <c r="A88" s="297">
        <v>65</v>
      </c>
      <c r="B88" s="293" t="s">
        <v>632</v>
      </c>
      <c r="C88" s="45"/>
      <c r="D88" s="45"/>
      <c r="E88" s="245">
        <f t="shared" si="6"/>
        <v>0</v>
      </c>
      <c r="F88" s="246">
        <f t="shared" si="7"/>
        <v>0</v>
      </c>
      <c r="G88" s="246">
        <f>'Tabel NBM'!H88</f>
        <v>2498.4</v>
      </c>
      <c r="H88" s="448">
        <f t="shared" si="2"/>
        <v>2498.4</v>
      </c>
      <c r="I88" s="403" t="str">
        <f t="shared" si="3"/>
        <v>EKSPOR</v>
      </c>
      <c r="J88" s="246"/>
      <c r="K88" s="246"/>
    </row>
    <row r="89" spans="1:11" x14ac:dyDescent="0.25">
      <c r="A89" s="297">
        <v>66</v>
      </c>
      <c r="B89" s="293" t="s">
        <v>20</v>
      </c>
      <c r="C89" s="45"/>
      <c r="D89" s="45"/>
      <c r="E89" s="245">
        <f t="shared" si="6"/>
        <v>0</v>
      </c>
      <c r="F89" s="246">
        <f t="shared" si="7"/>
        <v>0</v>
      </c>
      <c r="G89" s="246">
        <f>'Tabel NBM'!H89</f>
        <v>573.70000000000005</v>
      </c>
      <c r="H89" s="448">
        <f t="shared" si="2"/>
        <v>573.70000000000005</v>
      </c>
      <c r="I89" s="403" t="str">
        <f t="shared" si="3"/>
        <v>EKSPOR</v>
      </c>
      <c r="J89" s="246"/>
      <c r="K89" s="246"/>
    </row>
    <row r="90" spans="1:11" x14ac:dyDescent="0.25">
      <c r="A90" s="297">
        <v>67</v>
      </c>
      <c r="B90" s="293" t="s">
        <v>102</v>
      </c>
      <c r="C90" s="45"/>
      <c r="D90" s="45"/>
      <c r="E90" s="245">
        <f t="shared" si="6"/>
        <v>0</v>
      </c>
      <c r="F90" s="246">
        <f t="shared" si="7"/>
        <v>0</v>
      </c>
      <c r="G90" s="246">
        <f>'Tabel NBM'!H90</f>
        <v>1084.9987879352141</v>
      </c>
      <c r="H90" s="448">
        <f t="shared" si="2"/>
        <v>1084.9987879352141</v>
      </c>
      <c r="I90" s="403" t="str">
        <f t="shared" si="3"/>
        <v>EKSPOR</v>
      </c>
      <c r="J90" s="246"/>
      <c r="K90" s="246"/>
    </row>
    <row r="91" spans="1:11" x14ac:dyDescent="0.25">
      <c r="A91" s="297">
        <v>68</v>
      </c>
      <c r="B91" s="296" t="s">
        <v>103</v>
      </c>
      <c r="C91" s="45"/>
      <c r="D91" s="45"/>
      <c r="E91" s="245">
        <f t="shared" si="6"/>
        <v>0</v>
      </c>
      <c r="F91" s="246">
        <f t="shared" si="7"/>
        <v>0</v>
      </c>
      <c r="G91" s="246">
        <f>'Tabel NBM'!H91</f>
        <v>199.41200385185212</v>
      </c>
      <c r="H91" s="448">
        <f t="shared" si="2"/>
        <v>199.41200385185212</v>
      </c>
      <c r="I91" s="403" t="str">
        <f t="shared" si="3"/>
        <v>EKSPOR</v>
      </c>
      <c r="J91" s="246"/>
      <c r="K91" s="246"/>
    </row>
    <row r="92" spans="1:11" x14ac:dyDescent="0.25">
      <c r="A92" s="297">
        <v>69</v>
      </c>
      <c r="B92" s="293" t="s">
        <v>577</v>
      </c>
      <c r="C92" s="45"/>
      <c r="D92" s="45"/>
      <c r="E92" s="245">
        <f t="shared" si="6"/>
        <v>0</v>
      </c>
      <c r="F92" s="246">
        <f t="shared" si="7"/>
        <v>0</v>
      </c>
      <c r="G92" s="246">
        <f>'Tabel NBM'!H92</f>
        <v>0</v>
      </c>
      <c r="H92" s="448">
        <f t="shared" si="2"/>
        <v>0</v>
      </c>
      <c r="I92" s="403" t="str">
        <f t="shared" si="3"/>
        <v>EKSPOR</v>
      </c>
      <c r="J92" s="246"/>
      <c r="K92" s="246"/>
    </row>
    <row r="93" spans="1:11" x14ac:dyDescent="0.25">
      <c r="A93" s="297">
        <v>70</v>
      </c>
      <c r="B93" s="293" t="s">
        <v>105</v>
      </c>
      <c r="C93" s="45"/>
      <c r="D93" s="45"/>
      <c r="E93" s="245">
        <f t="shared" si="6"/>
        <v>0</v>
      </c>
      <c r="F93" s="246">
        <f t="shared" si="7"/>
        <v>0</v>
      </c>
      <c r="G93" s="246">
        <f>'Tabel NBM'!H93</f>
        <v>1151.1098900807685</v>
      </c>
      <c r="H93" s="448">
        <f t="shared" si="2"/>
        <v>1151.1098900807685</v>
      </c>
      <c r="I93" s="403" t="str">
        <f t="shared" si="3"/>
        <v>EKSPOR</v>
      </c>
      <c r="J93" s="246"/>
      <c r="K93" s="246"/>
    </row>
    <row r="94" spans="1:11" x14ac:dyDescent="0.25">
      <c r="A94" s="297">
        <v>71</v>
      </c>
      <c r="B94" s="293" t="s">
        <v>106</v>
      </c>
      <c r="C94" s="45"/>
      <c r="D94" s="293"/>
      <c r="E94" s="245">
        <f t="shared" si="6"/>
        <v>0</v>
      </c>
      <c r="F94" s="246">
        <f t="shared" si="7"/>
        <v>0</v>
      </c>
      <c r="G94" s="246">
        <f>'Tabel NBM'!H94</f>
        <v>1787</v>
      </c>
      <c r="H94" s="448">
        <f t="shared" ref="H94:H95" si="9">G94-F94</f>
        <v>1787</v>
      </c>
      <c r="I94" s="403" t="str">
        <f t="shared" si="3"/>
        <v>EKSPOR</v>
      </c>
      <c r="J94" s="246"/>
      <c r="K94" s="246"/>
    </row>
    <row r="95" spans="1:11" x14ac:dyDescent="0.25">
      <c r="A95" s="297">
        <v>72</v>
      </c>
      <c r="B95" s="293" t="s">
        <v>107</v>
      </c>
      <c r="C95" s="45"/>
      <c r="D95" s="282"/>
      <c r="E95" s="245">
        <f t="shared" si="6"/>
        <v>0</v>
      </c>
      <c r="F95" s="246">
        <f t="shared" si="7"/>
        <v>0</v>
      </c>
      <c r="G95" s="246">
        <f>'Tabel NBM'!H95</f>
        <v>0</v>
      </c>
      <c r="H95" s="448">
        <f t="shared" si="9"/>
        <v>0</v>
      </c>
      <c r="I95" s="403" t="str">
        <f t="shared" ref="I95" si="10">IF(H95&lt;0,"IMPOR","EKSPOR")</f>
        <v>EKSPOR</v>
      </c>
      <c r="J95" s="246"/>
      <c r="K95" s="246"/>
    </row>
    <row r="96" spans="1:11" x14ac:dyDescent="0.25">
      <c r="A96" s="297">
        <v>73</v>
      </c>
      <c r="B96" s="293" t="s">
        <v>108</v>
      </c>
      <c r="C96" s="45"/>
      <c r="D96" s="45"/>
      <c r="E96" s="245">
        <f t="shared" si="6"/>
        <v>0</v>
      </c>
      <c r="F96" s="246">
        <f t="shared" si="7"/>
        <v>0</v>
      </c>
      <c r="G96" s="246">
        <f>'Tabel NBM'!H96</f>
        <v>248.16902064286708</v>
      </c>
      <c r="H96" s="448">
        <f t="shared" ref="H96:H157" si="11">G96-F96</f>
        <v>248.16902064286708</v>
      </c>
      <c r="I96" s="403" t="str">
        <f t="shared" ref="I96:I157" si="12">IF(H96&lt;0,"IMPOR","EKSPOR")</f>
        <v>EKSPOR</v>
      </c>
      <c r="J96" s="246"/>
      <c r="K96" s="246"/>
    </row>
    <row r="97" spans="1:11" x14ac:dyDescent="0.25">
      <c r="A97" s="297">
        <v>74</v>
      </c>
      <c r="B97" s="293" t="s">
        <v>109</v>
      </c>
      <c r="C97" s="45"/>
      <c r="D97" s="45"/>
      <c r="E97" s="245">
        <f t="shared" si="6"/>
        <v>0</v>
      </c>
      <c r="F97" s="246">
        <f t="shared" si="7"/>
        <v>0</v>
      </c>
      <c r="G97" s="246">
        <f>'Tabel NBM'!H97</f>
        <v>965.93099457634594</v>
      </c>
      <c r="H97" s="448">
        <f t="shared" si="11"/>
        <v>965.93099457634594</v>
      </c>
      <c r="I97" s="403" t="str">
        <f t="shared" si="12"/>
        <v>EKSPOR</v>
      </c>
      <c r="J97" s="246"/>
      <c r="K97" s="246"/>
    </row>
    <row r="98" spans="1:11" x14ac:dyDescent="0.25">
      <c r="A98" s="297">
        <v>75</v>
      </c>
      <c r="B98" s="293" t="s">
        <v>111</v>
      </c>
      <c r="C98" s="45"/>
      <c r="D98" s="45"/>
      <c r="E98" s="245">
        <f t="shared" ref="E98:E157" si="13">D98*110%</f>
        <v>0</v>
      </c>
      <c r="F98" s="246">
        <f t="shared" si="7"/>
        <v>0</v>
      </c>
      <c r="G98" s="246">
        <f>'Tabel NBM'!H98</f>
        <v>0</v>
      </c>
      <c r="H98" s="448">
        <f t="shared" si="11"/>
        <v>0</v>
      </c>
      <c r="I98" s="403" t="str">
        <f t="shared" si="12"/>
        <v>EKSPOR</v>
      </c>
      <c r="J98" s="246"/>
      <c r="K98" s="246"/>
    </row>
    <row r="99" spans="1:11" x14ac:dyDescent="0.25">
      <c r="A99" s="297">
        <v>76</v>
      </c>
      <c r="B99" s="293" t="s">
        <v>167</v>
      </c>
      <c r="C99" s="45"/>
      <c r="D99" s="45"/>
      <c r="E99" s="245">
        <f t="shared" si="13"/>
        <v>0</v>
      </c>
      <c r="F99" s="246">
        <f t="shared" si="7"/>
        <v>0</v>
      </c>
      <c r="G99" s="246">
        <f>'Tabel NBM'!H99</f>
        <v>0</v>
      </c>
      <c r="H99" s="448">
        <f t="shared" si="11"/>
        <v>0</v>
      </c>
      <c r="I99" s="403" t="str">
        <f t="shared" si="12"/>
        <v>EKSPOR</v>
      </c>
      <c r="J99" s="246"/>
      <c r="K99" s="246"/>
    </row>
    <row r="100" spans="1:11" x14ac:dyDescent="0.25">
      <c r="A100" s="297">
        <v>77</v>
      </c>
      <c r="B100" s="293" t="s">
        <v>21</v>
      </c>
      <c r="C100" s="45"/>
      <c r="D100" s="45"/>
      <c r="E100" s="245">
        <f t="shared" si="13"/>
        <v>0</v>
      </c>
      <c r="F100" s="246">
        <f t="shared" ref="F100:F157" si="14">E100*$D$4</f>
        <v>0</v>
      </c>
      <c r="G100" s="246">
        <f>'Tabel NBM'!H100</f>
        <v>0</v>
      </c>
      <c r="H100" s="448">
        <f t="shared" si="11"/>
        <v>0</v>
      </c>
      <c r="I100" s="403" t="str">
        <f t="shared" si="12"/>
        <v>EKSPOR</v>
      </c>
      <c r="J100" s="246"/>
      <c r="K100" s="246"/>
    </row>
    <row r="101" spans="1:11" x14ac:dyDescent="0.25">
      <c r="A101" s="297">
        <v>78</v>
      </c>
      <c r="B101" s="293" t="s">
        <v>22</v>
      </c>
      <c r="C101" s="45"/>
      <c r="D101" s="45"/>
      <c r="E101" s="245">
        <f t="shared" si="13"/>
        <v>0</v>
      </c>
      <c r="F101" s="246">
        <f t="shared" si="14"/>
        <v>0</v>
      </c>
      <c r="G101" s="246">
        <f>'Tabel NBM'!H101</f>
        <v>0</v>
      </c>
      <c r="H101" s="448">
        <f t="shared" si="11"/>
        <v>0</v>
      </c>
      <c r="I101" s="403" t="str">
        <f t="shared" si="12"/>
        <v>EKSPOR</v>
      </c>
      <c r="J101" s="246"/>
      <c r="K101" s="246"/>
    </row>
    <row r="102" spans="1:11" x14ac:dyDescent="0.25">
      <c r="A102" s="297">
        <v>79</v>
      </c>
      <c r="B102" s="293" t="s">
        <v>112</v>
      </c>
      <c r="C102" s="45"/>
      <c r="D102" s="45"/>
      <c r="E102" s="245">
        <f t="shared" si="13"/>
        <v>0</v>
      </c>
      <c r="F102" s="246">
        <f t="shared" si="14"/>
        <v>0</v>
      </c>
      <c r="G102" s="246">
        <f>'Tabel NBM'!H102</f>
        <v>0</v>
      </c>
      <c r="H102" s="448">
        <f t="shared" si="11"/>
        <v>0</v>
      </c>
      <c r="I102" s="403" t="str">
        <f t="shared" si="12"/>
        <v>EKSPOR</v>
      </c>
      <c r="J102" s="246"/>
      <c r="K102" s="246"/>
    </row>
    <row r="103" spans="1:11" x14ac:dyDescent="0.25">
      <c r="A103" s="297">
        <v>80</v>
      </c>
      <c r="B103" s="293" t="s">
        <v>113</v>
      </c>
      <c r="C103" s="45"/>
      <c r="D103" s="45"/>
      <c r="E103" s="245">
        <f t="shared" si="13"/>
        <v>0</v>
      </c>
      <c r="F103" s="246">
        <f t="shared" si="14"/>
        <v>0</v>
      </c>
      <c r="G103" s="246">
        <f>'Tabel NBM'!H103</f>
        <v>0</v>
      </c>
      <c r="H103" s="448">
        <f t="shared" si="11"/>
        <v>0</v>
      </c>
      <c r="I103" s="403" t="str">
        <f t="shared" si="12"/>
        <v>EKSPOR</v>
      </c>
      <c r="J103" s="246"/>
      <c r="K103" s="246"/>
    </row>
    <row r="104" spans="1:11" x14ac:dyDescent="0.25">
      <c r="A104" s="297">
        <v>81</v>
      </c>
      <c r="B104" s="293" t="s">
        <v>114</v>
      </c>
      <c r="C104" s="45"/>
      <c r="D104" s="45"/>
      <c r="E104" s="245">
        <f t="shared" si="13"/>
        <v>0</v>
      </c>
      <c r="F104" s="246">
        <f t="shared" si="14"/>
        <v>0</v>
      </c>
      <c r="G104" s="246">
        <f>'Tabel NBM'!H104</f>
        <v>500</v>
      </c>
      <c r="H104" s="448">
        <f t="shared" si="11"/>
        <v>500</v>
      </c>
      <c r="I104" s="403" t="str">
        <f t="shared" si="12"/>
        <v>EKSPOR</v>
      </c>
      <c r="J104" s="246"/>
      <c r="K104" s="246"/>
    </row>
    <row r="105" spans="1:11" x14ac:dyDescent="0.25">
      <c r="A105" s="297">
        <v>82</v>
      </c>
      <c r="B105" s="293" t="s">
        <v>115</v>
      </c>
      <c r="C105" s="45"/>
      <c r="D105" s="45"/>
      <c r="E105" s="245">
        <f t="shared" si="13"/>
        <v>0</v>
      </c>
      <c r="F105" s="246">
        <f t="shared" si="14"/>
        <v>0</v>
      </c>
      <c r="G105" s="246">
        <f>'Tabel NBM'!H105</f>
        <v>0</v>
      </c>
      <c r="H105" s="448">
        <f t="shared" si="11"/>
        <v>0</v>
      </c>
      <c r="I105" s="403" t="str">
        <f t="shared" si="12"/>
        <v>EKSPOR</v>
      </c>
      <c r="J105" s="246"/>
      <c r="K105" s="246"/>
    </row>
    <row r="106" spans="1:11" x14ac:dyDescent="0.25">
      <c r="A106" s="297">
        <v>83</v>
      </c>
      <c r="B106" s="293" t="s">
        <v>23</v>
      </c>
      <c r="C106" s="45"/>
      <c r="D106" s="45"/>
      <c r="E106" s="245">
        <f t="shared" si="13"/>
        <v>0</v>
      </c>
      <c r="F106" s="246">
        <f t="shared" si="14"/>
        <v>0</v>
      </c>
      <c r="G106" s="246">
        <f>'Tabel NBM'!H106</f>
        <v>0</v>
      </c>
      <c r="H106" s="448">
        <f t="shared" si="11"/>
        <v>0</v>
      </c>
      <c r="I106" s="403" t="str">
        <f t="shared" si="12"/>
        <v>EKSPOR</v>
      </c>
      <c r="J106" s="246"/>
      <c r="K106" s="246"/>
    </row>
    <row r="107" spans="1:11" x14ac:dyDescent="0.25">
      <c r="A107" s="297">
        <v>84</v>
      </c>
      <c r="B107" s="293" t="s">
        <v>24</v>
      </c>
      <c r="C107" s="45"/>
      <c r="D107" s="45"/>
      <c r="E107" s="245">
        <f t="shared" si="13"/>
        <v>0</v>
      </c>
      <c r="F107" s="246">
        <f t="shared" si="14"/>
        <v>0</v>
      </c>
      <c r="G107" s="246">
        <f>'Tabel NBM'!H107</f>
        <v>0</v>
      </c>
      <c r="H107" s="448">
        <f t="shared" si="11"/>
        <v>0</v>
      </c>
      <c r="I107" s="403" t="str">
        <f t="shared" si="12"/>
        <v>EKSPOR</v>
      </c>
      <c r="J107" s="246"/>
      <c r="K107" s="246"/>
    </row>
    <row r="108" spans="1:11" x14ac:dyDescent="0.25">
      <c r="A108" s="297">
        <v>85</v>
      </c>
      <c r="B108" s="293" t="s">
        <v>25</v>
      </c>
      <c r="C108" s="45"/>
      <c r="D108" s="45"/>
      <c r="E108" s="245">
        <f t="shared" si="13"/>
        <v>0</v>
      </c>
      <c r="F108" s="246">
        <f t="shared" si="14"/>
        <v>0</v>
      </c>
      <c r="G108" s="246">
        <f>'Tabel NBM'!H108</f>
        <v>0</v>
      </c>
      <c r="H108" s="448">
        <f t="shared" si="11"/>
        <v>0</v>
      </c>
      <c r="I108" s="403" t="str">
        <f t="shared" si="12"/>
        <v>EKSPOR</v>
      </c>
      <c r="J108" s="246"/>
      <c r="K108" s="246"/>
    </row>
    <row r="109" spans="1:11" x14ac:dyDescent="0.25">
      <c r="A109" s="297">
        <v>86</v>
      </c>
      <c r="B109" s="293" t="s">
        <v>26</v>
      </c>
      <c r="C109" s="45"/>
      <c r="D109" s="45"/>
      <c r="E109" s="245">
        <f t="shared" si="13"/>
        <v>0</v>
      </c>
      <c r="F109" s="246">
        <f t="shared" si="14"/>
        <v>0</v>
      </c>
      <c r="G109" s="246">
        <f>'Tabel NBM'!H109</f>
        <v>0</v>
      </c>
      <c r="H109" s="448">
        <f t="shared" si="11"/>
        <v>0</v>
      </c>
      <c r="I109" s="403" t="str">
        <f t="shared" si="12"/>
        <v>EKSPOR</v>
      </c>
      <c r="J109" s="246"/>
      <c r="K109" s="246"/>
    </row>
    <row r="110" spans="1:11" x14ac:dyDescent="0.25">
      <c r="A110" s="297">
        <v>87</v>
      </c>
      <c r="B110" s="282" t="s">
        <v>173</v>
      </c>
      <c r="C110" s="45"/>
      <c r="D110" s="45"/>
      <c r="E110" s="245">
        <f t="shared" si="13"/>
        <v>0</v>
      </c>
      <c r="F110" s="246">
        <f t="shared" si="14"/>
        <v>0</v>
      </c>
      <c r="G110" s="246">
        <f>'Tabel NBM'!H110</f>
        <v>0</v>
      </c>
      <c r="H110" s="448">
        <f t="shared" si="11"/>
        <v>0</v>
      </c>
      <c r="I110" s="403" t="str">
        <f t="shared" si="12"/>
        <v>EKSPOR</v>
      </c>
      <c r="J110" s="246"/>
      <c r="K110" s="246"/>
    </row>
    <row r="111" spans="1:11" x14ac:dyDescent="0.25">
      <c r="A111" s="297"/>
      <c r="B111" s="282"/>
      <c r="C111" s="282"/>
      <c r="D111" s="45"/>
      <c r="E111" s="245"/>
      <c r="F111" s="246"/>
      <c r="G111" s="246">
        <f>'Tabel NBM'!H111</f>
        <v>0</v>
      </c>
      <c r="H111" s="448"/>
      <c r="I111" s="403"/>
      <c r="J111" s="246"/>
      <c r="K111" s="246"/>
    </row>
    <row r="112" spans="1:11" x14ac:dyDescent="0.25">
      <c r="A112" s="295" t="s">
        <v>116</v>
      </c>
      <c r="B112" s="293"/>
      <c r="C112" s="282"/>
      <c r="D112" s="45"/>
      <c r="E112" s="245"/>
      <c r="F112" s="246"/>
      <c r="G112" s="246">
        <f>'Tabel NBM'!H112</f>
        <v>0</v>
      </c>
      <c r="H112" s="448"/>
      <c r="I112" s="403"/>
      <c r="J112" s="246"/>
      <c r="K112" s="246"/>
    </row>
    <row r="113" spans="1:11" x14ac:dyDescent="0.25">
      <c r="A113" s="297">
        <v>88</v>
      </c>
      <c r="B113" s="282" t="s">
        <v>117</v>
      </c>
      <c r="C113" s="45"/>
      <c r="D113" s="45"/>
      <c r="E113" s="245">
        <f t="shared" si="13"/>
        <v>0</v>
      </c>
      <c r="F113" s="246">
        <f t="shared" si="14"/>
        <v>0</v>
      </c>
      <c r="G113" s="246">
        <f>'Tabel NBM'!H113</f>
        <v>1795.0047144740035</v>
      </c>
      <c r="H113" s="448">
        <f t="shared" si="11"/>
        <v>1795.0047144740035</v>
      </c>
      <c r="I113" s="403" t="str">
        <f t="shared" si="12"/>
        <v>EKSPOR</v>
      </c>
      <c r="J113" s="246"/>
      <c r="K113" s="246"/>
    </row>
    <row r="114" spans="1:11" x14ac:dyDescent="0.25">
      <c r="A114" s="297">
        <v>89</v>
      </c>
      <c r="B114" s="282" t="s">
        <v>118</v>
      </c>
      <c r="C114" s="45"/>
      <c r="D114" s="45"/>
      <c r="E114" s="245">
        <f t="shared" si="13"/>
        <v>0</v>
      </c>
      <c r="F114" s="246">
        <f t="shared" si="14"/>
        <v>0</v>
      </c>
      <c r="G114" s="246">
        <f>'Tabel NBM'!H114</f>
        <v>288.70531953751254</v>
      </c>
      <c r="H114" s="448">
        <f t="shared" si="11"/>
        <v>288.70531953751254</v>
      </c>
      <c r="I114" s="403" t="str">
        <f t="shared" si="12"/>
        <v>EKSPOR</v>
      </c>
      <c r="J114" s="246"/>
      <c r="K114" s="246"/>
    </row>
    <row r="115" spans="1:11" x14ac:dyDescent="0.25">
      <c r="A115" s="297">
        <v>90</v>
      </c>
      <c r="B115" s="282" t="s">
        <v>119</v>
      </c>
      <c r="C115" s="45"/>
      <c r="D115" s="45"/>
      <c r="E115" s="245">
        <f t="shared" si="13"/>
        <v>0</v>
      </c>
      <c r="F115" s="246">
        <f t="shared" si="14"/>
        <v>0</v>
      </c>
      <c r="G115" s="246">
        <f>'Tabel NBM'!H115</f>
        <v>43.426272003714594</v>
      </c>
      <c r="H115" s="448">
        <f t="shared" si="11"/>
        <v>43.426272003714594</v>
      </c>
      <c r="I115" s="403" t="str">
        <f t="shared" si="12"/>
        <v>EKSPOR</v>
      </c>
      <c r="J115" s="246"/>
      <c r="K115" s="246"/>
    </row>
    <row r="116" spans="1:11" x14ac:dyDescent="0.25">
      <c r="A116" s="297">
        <v>91</v>
      </c>
      <c r="B116" s="282" t="s">
        <v>120</v>
      </c>
      <c r="C116" s="45"/>
      <c r="D116" s="45"/>
      <c r="E116" s="245">
        <f t="shared" si="13"/>
        <v>0</v>
      </c>
      <c r="F116" s="246">
        <f t="shared" si="14"/>
        <v>0</v>
      </c>
      <c r="G116" s="246">
        <f>'Tabel NBM'!H116</f>
        <v>0</v>
      </c>
      <c r="H116" s="448">
        <f t="shared" si="11"/>
        <v>0</v>
      </c>
      <c r="I116" s="403" t="str">
        <f t="shared" si="12"/>
        <v>EKSPOR</v>
      </c>
      <c r="J116" s="246"/>
      <c r="K116" s="246"/>
    </row>
    <row r="117" spans="1:11" x14ac:dyDescent="0.25">
      <c r="A117" s="297">
        <v>92</v>
      </c>
      <c r="B117" s="282" t="s">
        <v>121</v>
      </c>
      <c r="C117" s="45"/>
      <c r="D117" s="45"/>
      <c r="E117" s="245">
        <f t="shared" si="13"/>
        <v>0</v>
      </c>
      <c r="F117" s="246">
        <f t="shared" si="14"/>
        <v>0</v>
      </c>
      <c r="G117" s="246">
        <f>'Tabel NBM'!H117</f>
        <v>0</v>
      </c>
      <c r="H117" s="448">
        <f t="shared" si="11"/>
        <v>0</v>
      </c>
      <c r="I117" s="403" t="str">
        <f t="shared" si="12"/>
        <v>EKSPOR</v>
      </c>
      <c r="J117" s="246"/>
      <c r="K117" s="246"/>
    </row>
    <row r="118" spans="1:11" x14ac:dyDescent="0.25">
      <c r="A118" s="297">
        <v>93</v>
      </c>
      <c r="B118" s="282" t="s">
        <v>122</v>
      </c>
      <c r="C118" s="45"/>
      <c r="D118" s="45"/>
      <c r="E118" s="245">
        <f t="shared" si="13"/>
        <v>0</v>
      </c>
      <c r="F118" s="246">
        <f t="shared" si="14"/>
        <v>0</v>
      </c>
      <c r="G118" s="246">
        <f>'Tabel NBM'!H118</f>
        <v>0</v>
      </c>
      <c r="H118" s="448">
        <f t="shared" si="11"/>
        <v>0</v>
      </c>
      <c r="I118" s="403" t="str">
        <f t="shared" si="12"/>
        <v>EKSPOR</v>
      </c>
      <c r="J118" s="246"/>
      <c r="K118" s="246"/>
    </row>
    <row r="119" spans="1:11" x14ac:dyDescent="0.25">
      <c r="A119" s="297">
        <v>94</v>
      </c>
      <c r="B119" s="282" t="s">
        <v>123</v>
      </c>
      <c r="C119" s="45"/>
      <c r="D119" s="45"/>
      <c r="E119" s="245">
        <f t="shared" si="13"/>
        <v>0</v>
      </c>
      <c r="F119" s="246">
        <f t="shared" si="14"/>
        <v>0</v>
      </c>
      <c r="G119" s="246">
        <f>'Tabel NBM'!H119</f>
        <v>1718.5047229721999</v>
      </c>
      <c r="H119" s="448">
        <f t="shared" si="11"/>
        <v>1718.5047229721999</v>
      </c>
      <c r="I119" s="403" t="str">
        <f t="shared" si="12"/>
        <v>EKSPOR</v>
      </c>
      <c r="J119" s="246"/>
      <c r="K119" s="246"/>
    </row>
    <row r="120" spans="1:11" x14ac:dyDescent="0.25">
      <c r="A120" s="297">
        <v>95</v>
      </c>
      <c r="B120" s="282" t="s">
        <v>598</v>
      </c>
      <c r="C120" s="45"/>
      <c r="D120" s="45"/>
      <c r="E120" s="245">
        <f t="shared" si="13"/>
        <v>0</v>
      </c>
      <c r="F120" s="246">
        <f t="shared" si="14"/>
        <v>0</v>
      </c>
      <c r="G120" s="246">
        <f>'Tabel NBM'!H120</f>
        <v>8238.8856675648458</v>
      </c>
      <c r="H120" s="448">
        <f t="shared" si="11"/>
        <v>8238.8856675648458</v>
      </c>
      <c r="I120" s="403" t="str">
        <f t="shared" si="12"/>
        <v>EKSPOR</v>
      </c>
      <c r="J120" s="246"/>
      <c r="K120" s="246"/>
    </row>
    <row r="121" spans="1:11" x14ac:dyDescent="0.25">
      <c r="A121" s="297">
        <v>96</v>
      </c>
      <c r="B121" s="282" t="s">
        <v>125</v>
      </c>
      <c r="C121" s="45"/>
      <c r="D121" s="45"/>
      <c r="E121" s="245">
        <f t="shared" si="13"/>
        <v>0</v>
      </c>
      <c r="F121" s="246">
        <f t="shared" si="14"/>
        <v>0</v>
      </c>
      <c r="G121" s="246">
        <f>'Tabel NBM'!H121</f>
        <v>560.16115008265001</v>
      </c>
      <c r="H121" s="448">
        <f t="shared" si="11"/>
        <v>560.16115008265001</v>
      </c>
      <c r="I121" s="403" t="str">
        <f t="shared" si="12"/>
        <v>EKSPOR</v>
      </c>
      <c r="J121" s="246"/>
      <c r="K121" s="246"/>
    </row>
    <row r="122" spans="1:11" x14ac:dyDescent="0.25">
      <c r="A122" s="297">
        <v>97</v>
      </c>
      <c r="B122" s="282" t="s">
        <v>126</v>
      </c>
      <c r="C122" s="45"/>
      <c r="D122" s="45"/>
      <c r="E122" s="245">
        <f t="shared" si="13"/>
        <v>0</v>
      </c>
      <c r="F122" s="246">
        <f t="shared" si="14"/>
        <v>0</v>
      </c>
      <c r="G122" s="246">
        <f>'Tabel NBM'!H122</f>
        <v>6.8619012000000001</v>
      </c>
      <c r="H122" s="448">
        <f t="shared" si="11"/>
        <v>6.8619012000000001</v>
      </c>
      <c r="I122" s="403" t="str">
        <f t="shared" si="12"/>
        <v>EKSPOR</v>
      </c>
      <c r="J122" s="246"/>
      <c r="K122" s="246"/>
    </row>
    <row r="123" spans="1:11" x14ac:dyDescent="0.25">
      <c r="A123" s="297">
        <v>98</v>
      </c>
      <c r="B123" s="282" t="s">
        <v>127</v>
      </c>
      <c r="C123" s="45"/>
      <c r="D123" s="45"/>
      <c r="E123" s="245">
        <f t="shared" si="13"/>
        <v>0</v>
      </c>
      <c r="F123" s="246">
        <f t="shared" si="14"/>
        <v>0</v>
      </c>
      <c r="G123" s="246">
        <f>'Tabel NBM'!H123</f>
        <v>844.71164549075263</v>
      </c>
      <c r="H123" s="448">
        <f t="shared" si="11"/>
        <v>844.71164549075263</v>
      </c>
      <c r="I123" s="403" t="str">
        <f t="shared" si="12"/>
        <v>EKSPOR</v>
      </c>
      <c r="J123" s="246"/>
      <c r="K123" s="246"/>
    </row>
    <row r="124" spans="1:11" x14ac:dyDescent="0.25">
      <c r="A124" s="297"/>
      <c r="B124" s="298"/>
      <c r="C124" s="282"/>
      <c r="D124" s="45"/>
      <c r="E124" s="245"/>
      <c r="F124" s="246"/>
      <c r="G124" s="246">
        <f>'Tabel NBM'!H124</f>
        <v>0</v>
      </c>
      <c r="H124" s="448"/>
      <c r="I124" s="403"/>
      <c r="J124" s="246"/>
      <c r="K124" s="246"/>
    </row>
    <row r="125" spans="1:11" x14ac:dyDescent="0.25">
      <c r="A125" s="336" t="s">
        <v>128</v>
      </c>
      <c r="B125" s="282"/>
      <c r="C125" s="282"/>
      <c r="D125" s="45"/>
      <c r="E125" s="245"/>
      <c r="F125" s="246"/>
      <c r="G125" s="246">
        <f>'Tabel NBM'!H125</f>
        <v>0</v>
      </c>
      <c r="H125" s="448"/>
      <c r="I125" s="403"/>
      <c r="J125" s="246"/>
      <c r="K125" s="246"/>
    </row>
    <row r="126" spans="1:11" x14ac:dyDescent="0.25">
      <c r="A126" s="297">
        <v>99</v>
      </c>
      <c r="B126" s="296" t="s">
        <v>129</v>
      </c>
      <c r="C126" s="45"/>
      <c r="D126" s="45"/>
      <c r="E126" s="245">
        <f t="shared" si="13"/>
        <v>0</v>
      </c>
      <c r="F126" s="246">
        <f t="shared" si="14"/>
        <v>0</v>
      </c>
      <c r="G126" s="246">
        <f>'Tabel NBM'!H126</f>
        <v>981.24472141374997</v>
      </c>
      <c r="H126" s="448">
        <f t="shared" si="11"/>
        <v>981.24472141374997</v>
      </c>
      <c r="I126" s="403" t="str">
        <f t="shared" si="12"/>
        <v>EKSPOR</v>
      </c>
      <c r="J126" s="246"/>
      <c r="K126" s="246"/>
    </row>
    <row r="127" spans="1:11" x14ac:dyDescent="0.25">
      <c r="A127" s="297">
        <v>100</v>
      </c>
      <c r="B127" s="296" t="s">
        <v>175</v>
      </c>
      <c r="C127" s="45"/>
      <c r="D127" s="282"/>
      <c r="E127" s="245">
        <f t="shared" ref="E127:E128" si="15">D127*110%</f>
        <v>0</v>
      </c>
      <c r="F127" s="246">
        <f t="shared" ref="F127:F128" si="16">E127*$D$4</f>
        <v>0</v>
      </c>
      <c r="G127" s="246">
        <f>'Tabel NBM'!H127</f>
        <v>6250.9125998507998</v>
      </c>
      <c r="H127" s="448">
        <f t="shared" ref="H127:H128" si="17">G127-F127</f>
        <v>6250.9125998507998</v>
      </c>
      <c r="I127" s="403" t="str">
        <f t="shared" ref="I127:I128" si="18">IF(H127&lt;0,"IMPOR","EKSPOR")</f>
        <v>EKSPOR</v>
      </c>
      <c r="J127" s="246"/>
      <c r="K127" s="246"/>
    </row>
    <row r="128" spans="1:11" x14ac:dyDescent="0.25">
      <c r="A128" s="297">
        <v>101</v>
      </c>
      <c r="B128" s="296" t="s">
        <v>130</v>
      </c>
      <c r="C128" s="45"/>
      <c r="D128" s="282"/>
      <c r="E128" s="245">
        <f t="shared" si="15"/>
        <v>0</v>
      </c>
      <c r="F128" s="246">
        <f t="shared" si="16"/>
        <v>0</v>
      </c>
      <c r="G128" s="246">
        <f>'Tabel NBM'!H128</f>
        <v>403.45018958294997</v>
      </c>
      <c r="H128" s="448">
        <f t="shared" si="17"/>
        <v>403.45018958294997</v>
      </c>
      <c r="I128" s="403" t="str">
        <f t="shared" si="18"/>
        <v>EKSPOR</v>
      </c>
      <c r="J128" s="246"/>
      <c r="K128" s="246"/>
    </row>
    <row r="129" spans="1:11" x14ac:dyDescent="0.25">
      <c r="A129" s="297">
        <v>102</v>
      </c>
      <c r="B129" s="296" t="s">
        <v>131</v>
      </c>
      <c r="C129" s="45"/>
      <c r="D129" s="45"/>
      <c r="E129" s="245">
        <f t="shared" si="13"/>
        <v>0</v>
      </c>
      <c r="F129" s="246">
        <f t="shared" si="14"/>
        <v>0</v>
      </c>
      <c r="G129" s="246">
        <f>'Tabel NBM'!H129</f>
        <v>254.08425764</v>
      </c>
      <c r="H129" s="448">
        <f t="shared" si="11"/>
        <v>254.08425764</v>
      </c>
      <c r="I129" s="403" t="str">
        <f t="shared" si="12"/>
        <v>EKSPOR</v>
      </c>
      <c r="J129" s="246"/>
      <c r="K129" s="246"/>
    </row>
    <row r="130" spans="1:11" x14ac:dyDescent="0.25">
      <c r="A130" s="297"/>
      <c r="B130" s="282"/>
      <c r="C130" s="282"/>
      <c r="D130" s="45"/>
      <c r="E130" s="245"/>
      <c r="F130" s="246"/>
      <c r="G130" s="246">
        <f>'Tabel NBM'!H130</f>
        <v>0</v>
      </c>
      <c r="H130" s="448"/>
      <c r="I130" s="403"/>
      <c r="J130" s="246"/>
      <c r="K130" s="246"/>
    </row>
    <row r="131" spans="1:11" x14ac:dyDescent="0.25">
      <c r="A131" s="336" t="s">
        <v>132</v>
      </c>
      <c r="B131" s="282"/>
      <c r="C131" s="282"/>
      <c r="D131" s="45"/>
      <c r="E131" s="245"/>
      <c r="F131" s="246"/>
      <c r="G131" s="246">
        <f>'Tabel NBM'!H131</f>
        <v>0</v>
      </c>
      <c r="H131" s="448"/>
      <c r="I131" s="403"/>
      <c r="J131" s="246"/>
      <c r="K131" s="246"/>
    </row>
    <row r="132" spans="1:11" x14ac:dyDescent="0.25">
      <c r="A132" s="297">
        <v>103</v>
      </c>
      <c r="B132" s="282" t="s">
        <v>133</v>
      </c>
      <c r="C132" s="45"/>
      <c r="D132" s="45"/>
      <c r="E132" s="245">
        <f t="shared" si="13"/>
        <v>0</v>
      </c>
      <c r="F132" s="246">
        <f t="shared" si="14"/>
        <v>0</v>
      </c>
      <c r="G132" s="246">
        <f>'Tabel NBM'!H132</f>
        <v>0</v>
      </c>
      <c r="H132" s="448">
        <f t="shared" si="11"/>
        <v>0</v>
      </c>
      <c r="I132" s="403" t="str">
        <f t="shared" si="12"/>
        <v>EKSPOR</v>
      </c>
      <c r="J132" s="246"/>
      <c r="K132" s="246"/>
    </row>
    <row r="133" spans="1:11" x14ac:dyDescent="0.25">
      <c r="A133" s="297">
        <v>104</v>
      </c>
      <c r="B133" s="282" t="s">
        <v>425</v>
      </c>
      <c r="C133" s="45"/>
      <c r="D133" s="45"/>
      <c r="E133" s="245">
        <f t="shared" si="13"/>
        <v>0</v>
      </c>
      <c r="F133" s="246">
        <f t="shared" si="14"/>
        <v>0</v>
      </c>
      <c r="G133" s="246">
        <f>'Tabel NBM'!H133</f>
        <v>0</v>
      </c>
      <c r="H133" s="448">
        <f t="shared" si="11"/>
        <v>0</v>
      </c>
      <c r="I133" s="403" t="str">
        <f t="shared" si="12"/>
        <v>EKSPOR</v>
      </c>
      <c r="J133" s="246"/>
      <c r="K133" s="246"/>
    </row>
    <row r="134" spans="1:11" x14ac:dyDescent="0.25">
      <c r="A134" s="297"/>
      <c r="B134" s="282"/>
      <c r="C134" s="282"/>
      <c r="D134" s="45"/>
      <c r="E134" s="245">
        <f t="shared" si="13"/>
        <v>0</v>
      </c>
      <c r="F134" s="246">
        <f t="shared" si="14"/>
        <v>0</v>
      </c>
      <c r="G134" s="246">
        <f>'Tabel NBM'!H134</f>
        <v>0</v>
      </c>
      <c r="H134" s="448">
        <f t="shared" si="11"/>
        <v>0</v>
      </c>
      <c r="I134" s="403" t="str">
        <f t="shared" si="12"/>
        <v>EKSPOR</v>
      </c>
      <c r="J134" s="246"/>
      <c r="K134" s="246"/>
    </row>
    <row r="135" spans="1:11" x14ac:dyDescent="0.25">
      <c r="A135" s="336" t="s">
        <v>135</v>
      </c>
      <c r="B135" s="282"/>
      <c r="C135" s="282"/>
      <c r="D135" s="45"/>
      <c r="E135" s="245">
        <f t="shared" si="13"/>
        <v>0</v>
      </c>
      <c r="F135" s="246">
        <f t="shared" si="14"/>
        <v>0</v>
      </c>
      <c r="G135" s="246">
        <f>'Tabel NBM'!H135</f>
        <v>0</v>
      </c>
      <c r="H135" s="448">
        <f t="shared" si="11"/>
        <v>0</v>
      </c>
      <c r="I135" s="403" t="str">
        <f t="shared" si="12"/>
        <v>EKSPOR</v>
      </c>
      <c r="J135" s="246"/>
      <c r="K135" s="246"/>
    </row>
    <row r="136" spans="1:11" x14ac:dyDescent="0.25">
      <c r="A136" s="297">
        <v>105</v>
      </c>
      <c r="B136" s="282" t="s">
        <v>174</v>
      </c>
      <c r="C136" s="45"/>
      <c r="D136" s="45"/>
      <c r="E136" s="245">
        <f t="shared" si="13"/>
        <v>0</v>
      </c>
      <c r="F136" s="246">
        <f t="shared" si="14"/>
        <v>0</v>
      </c>
      <c r="G136" s="246">
        <f>'Tabel NBM'!H136</f>
        <v>755.94436559547296</v>
      </c>
      <c r="H136" s="448">
        <f t="shared" si="11"/>
        <v>755.94436559547296</v>
      </c>
      <c r="I136" s="403" t="str">
        <f t="shared" si="12"/>
        <v>EKSPOR</v>
      </c>
      <c r="J136" s="246"/>
      <c r="K136" s="246"/>
    </row>
    <row r="137" spans="1:11" x14ac:dyDescent="0.25">
      <c r="A137" s="297">
        <v>106</v>
      </c>
      <c r="B137" s="282" t="s">
        <v>136</v>
      </c>
      <c r="C137" s="45"/>
      <c r="D137" s="45"/>
      <c r="E137" s="245">
        <f t="shared" si="13"/>
        <v>0</v>
      </c>
      <c r="F137" s="246">
        <f t="shared" si="14"/>
        <v>0</v>
      </c>
      <c r="G137" s="246">
        <f>'Tabel NBM'!H137</f>
        <v>7.6209018170622498</v>
      </c>
      <c r="H137" s="448">
        <f t="shared" si="11"/>
        <v>7.6209018170622498</v>
      </c>
      <c r="I137" s="403" t="str">
        <f t="shared" si="12"/>
        <v>EKSPOR</v>
      </c>
      <c r="J137" s="246"/>
      <c r="K137" s="246"/>
    </row>
    <row r="138" spans="1:11" x14ac:dyDescent="0.25">
      <c r="A138" s="297">
        <v>107</v>
      </c>
      <c r="B138" s="282" t="s">
        <v>137</v>
      </c>
      <c r="C138" s="45"/>
      <c r="D138" s="45"/>
      <c r="E138" s="245">
        <f t="shared" si="13"/>
        <v>0</v>
      </c>
      <c r="F138" s="246">
        <f t="shared" si="14"/>
        <v>0</v>
      </c>
      <c r="G138" s="246">
        <f>'Tabel NBM'!H138</f>
        <v>0</v>
      </c>
      <c r="H138" s="448">
        <f t="shared" si="11"/>
        <v>0</v>
      </c>
      <c r="I138" s="403" t="str">
        <f t="shared" si="12"/>
        <v>EKSPOR</v>
      </c>
      <c r="J138" s="246"/>
      <c r="K138" s="246"/>
    </row>
    <row r="139" spans="1:11" x14ac:dyDescent="0.25">
      <c r="A139" s="297">
        <v>108</v>
      </c>
      <c r="B139" s="282" t="s">
        <v>138</v>
      </c>
      <c r="C139" s="45"/>
      <c r="D139" s="45"/>
      <c r="E139" s="245">
        <f t="shared" si="13"/>
        <v>0</v>
      </c>
      <c r="F139" s="246">
        <f t="shared" si="14"/>
        <v>0</v>
      </c>
      <c r="G139" s="246">
        <f>'Tabel NBM'!H139</f>
        <v>22</v>
      </c>
      <c r="H139" s="448">
        <f t="shared" si="11"/>
        <v>22</v>
      </c>
      <c r="I139" s="403" t="str">
        <f t="shared" si="12"/>
        <v>EKSPOR</v>
      </c>
      <c r="J139" s="246"/>
      <c r="K139" s="246"/>
    </row>
    <row r="140" spans="1:11" x14ac:dyDescent="0.25">
      <c r="A140" s="297">
        <v>109</v>
      </c>
      <c r="B140" s="282" t="s">
        <v>139</v>
      </c>
      <c r="C140" s="45"/>
      <c r="D140" s="282"/>
      <c r="E140" s="245">
        <f t="shared" ref="E140:E151" si="19">D140*110%</f>
        <v>0</v>
      </c>
      <c r="F140" s="246">
        <f t="shared" ref="F140:F151" si="20">E140*$D$4</f>
        <v>0</v>
      </c>
      <c r="G140" s="246">
        <f>'Tabel NBM'!H140</f>
        <v>2955</v>
      </c>
      <c r="H140" s="448">
        <f t="shared" ref="H140:H151" si="21">G140-F140</f>
        <v>2955</v>
      </c>
      <c r="I140" s="403" t="str">
        <f t="shared" ref="I140:I151" si="22">IF(H140&lt;0,"IMPOR","EKSPOR")</f>
        <v>EKSPOR</v>
      </c>
      <c r="J140" s="246"/>
      <c r="K140" s="246"/>
    </row>
    <row r="141" spans="1:11" x14ac:dyDescent="0.25">
      <c r="A141" s="297">
        <v>110</v>
      </c>
      <c r="B141" s="282" t="s">
        <v>140</v>
      </c>
      <c r="C141" s="45"/>
      <c r="D141" s="282"/>
      <c r="E141" s="245">
        <f t="shared" si="19"/>
        <v>0</v>
      </c>
      <c r="F141" s="246">
        <f t="shared" si="20"/>
        <v>0</v>
      </c>
      <c r="G141" s="246">
        <f>'Tabel NBM'!H141</f>
        <v>0</v>
      </c>
      <c r="H141" s="448">
        <f t="shared" si="21"/>
        <v>0</v>
      </c>
      <c r="I141" s="403" t="str">
        <f t="shared" si="22"/>
        <v>EKSPOR</v>
      </c>
      <c r="J141" s="246"/>
      <c r="K141" s="246"/>
    </row>
    <row r="142" spans="1:11" x14ac:dyDescent="0.25">
      <c r="A142" s="297">
        <v>111</v>
      </c>
      <c r="B142" s="282" t="s">
        <v>141</v>
      </c>
      <c r="C142" s="45"/>
      <c r="D142" s="45"/>
      <c r="E142" s="245">
        <f t="shared" si="19"/>
        <v>0</v>
      </c>
      <c r="F142" s="246">
        <f t="shared" si="20"/>
        <v>0</v>
      </c>
      <c r="G142" s="246">
        <f>'Tabel NBM'!H142</f>
        <v>63.029507460292699</v>
      </c>
      <c r="H142" s="448">
        <f t="shared" si="21"/>
        <v>63.029507460292699</v>
      </c>
      <c r="I142" s="403" t="str">
        <f t="shared" si="22"/>
        <v>EKSPOR</v>
      </c>
      <c r="J142" s="246"/>
      <c r="K142" s="246"/>
    </row>
    <row r="143" spans="1:11" x14ac:dyDescent="0.25">
      <c r="A143" s="297">
        <v>112</v>
      </c>
      <c r="B143" s="282" t="s">
        <v>142</v>
      </c>
      <c r="C143" s="45"/>
      <c r="D143" s="45"/>
      <c r="E143" s="245">
        <f t="shared" si="19"/>
        <v>0</v>
      </c>
      <c r="F143" s="246">
        <f t="shared" si="20"/>
        <v>0</v>
      </c>
      <c r="G143" s="246">
        <f>'Tabel NBM'!H143</f>
        <v>6.47630990382926</v>
      </c>
      <c r="H143" s="448">
        <f t="shared" si="21"/>
        <v>6.47630990382926</v>
      </c>
      <c r="I143" s="403" t="str">
        <f t="shared" si="22"/>
        <v>EKSPOR</v>
      </c>
      <c r="J143" s="246"/>
      <c r="K143" s="246"/>
    </row>
    <row r="144" spans="1:11" x14ac:dyDescent="0.25">
      <c r="A144" s="297">
        <v>113</v>
      </c>
      <c r="B144" s="282" t="s">
        <v>143</v>
      </c>
      <c r="C144" s="45"/>
      <c r="D144" s="45"/>
      <c r="E144" s="245">
        <f t="shared" si="19"/>
        <v>0</v>
      </c>
      <c r="F144" s="246">
        <f t="shared" si="20"/>
        <v>0</v>
      </c>
      <c r="G144" s="246">
        <f>'Tabel NBM'!H144</f>
        <v>1.14090724695353</v>
      </c>
      <c r="H144" s="448">
        <f t="shared" si="21"/>
        <v>1.14090724695353</v>
      </c>
      <c r="I144" s="403" t="str">
        <f t="shared" si="22"/>
        <v>EKSPOR</v>
      </c>
      <c r="J144" s="246"/>
      <c r="K144" s="246"/>
    </row>
    <row r="145" spans="1:11" x14ac:dyDescent="0.25">
      <c r="A145" s="297">
        <v>114</v>
      </c>
      <c r="B145" s="282" t="s">
        <v>144</v>
      </c>
      <c r="C145" s="45"/>
      <c r="D145" s="45"/>
      <c r="E145" s="245">
        <f t="shared" si="19"/>
        <v>0</v>
      </c>
      <c r="F145" s="246">
        <f t="shared" si="20"/>
        <v>0</v>
      </c>
      <c r="G145" s="246">
        <f>'Tabel NBM'!H145</f>
        <v>0</v>
      </c>
      <c r="H145" s="448">
        <f t="shared" si="21"/>
        <v>0</v>
      </c>
      <c r="I145" s="403" t="str">
        <f t="shared" si="22"/>
        <v>EKSPOR</v>
      </c>
      <c r="J145" s="246"/>
      <c r="K145" s="246"/>
    </row>
    <row r="146" spans="1:11" x14ac:dyDescent="0.25">
      <c r="A146" s="297">
        <v>115</v>
      </c>
      <c r="B146" s="282" t="s">
        <v>145</v>
      </c>
      <c r="C146" s="45"/>
      <c r="D146" s="282"/>
      <c r="E146" s="245">
        <f t="shared" si="19"/>
        <v>0</v>
      </c>
      <c r="F146" s="246">
        <f t="shared" si="20"/>
        <v>0</v>
      </c>
      <c r="G146" s="246">
        <f>'Tabel NBM'!H146</f>
        <v>40.922301395519497</v>
      </c>
      <c r="H146" s="448">
        <f t="shared" si="21"/>
        <v>40.922301395519497</v>
      </c>
      <c r="I146" s="403" t="str">
        <f t="shared" si="22"/>
        <v>EKSPOR</v>
      </c>
      <c r="J146" s="246"/>
      <c r="K146" s="246"/>
    </row>
    <row r="147" spans="1:11" x14ac:dyDescent="0.25">
      <c r="A147" s="297">
        <v>116</v>
      </c>
      <c r="B147" s="282" t="s">
        <v>146</v>
      </c>
      <c r="C147" s="45"/>
      <c r="D147" s="282"/>
      <c r="E147" s="245">
        <f t="shared" si="19"/>
        <v>0</v>
      </c>
      <c r="F147" s="246">
        <f t="shared" si="20"/>
        <v>0</v>
      </c>
      <c r="G147" s="246">
        <f>'Tabel NBM'!H147</f>
        <v>3195.43</v>
      </c>
      <c r="H147" s="448">
        <f t="shared" si="21"/>
        <v>3195.43</v>
      </c>
      <c r="I147" s="403" t="str">
        <f t="shared" si="22"/>
        <v>EKSPOR</v>
      </c>
      <c r="J147" s="246"/>
      <c r="K147" s="246"/>
    </row>
    <row r="148" spans="1:11" x14ac:dyDescent="0.25">
      <c r="A148" s="297">
        <v>117</v>
      </c>
      <c r="B148" s="282" t="s">
        <v>147</v>
      </c>
      <c r="C148" s="45"/>
      <c r="D148" s="45"/>
      <c r="E148" s="245">
        <f t="shared" si="19"/>
        <v>0</v>
      </c>
      <c r="F148" s="246">
        <f t="shared" si="20"/>
        <v>0</v>
      </c>
      <c r="G148" s="246">
        <f>'Tabel NBM'!H148</f>
        <v>10147.36</v>
      </c>
      <c r="H148" s="448">
        <f t="shared" si="21"/>
        <v>10147.36</v>
      </c>
      <c r="I148" s="403" t="str">
        <f t="shared" si="22"/>
        <v>EKSPOR</v>
      </c>
      <c r="J148" s="246"/>
      <c r="K148" s="246"/>
    </row>
    <row r="149" spans="1:11" x14ac:dyDescent="0.25">
      <c r="A149" s="297">
        <v>118</v>
      </c>
      <c r="B149" s="282" t="s">
        <v>148</v>
      </c>
      <c r="C149" s="45"/>
      <c r="D149" s="45"/>
      <c r="E149" s="245">
        <f t="shared" si="19"/>
        <v>0</v>
      </c>
      <c r="F149" s="246">
        <f t="shared" si="20"/>
        <v>0</v>
      </c>
      <c r="G149" s="246">
        <f>'Tabel NBM'!H149</f>
        <v>1572.1100000000001</v>
      </c>
      <c r="H149" s="448">
        <f t="shared" si="21"/>
        <v>1572.1100000000001</v>
      </c>
      <c r="I149" s="403" t="str">
        <f t="shared" si="22"/>
        <v>EKSPOR</v>
      </c>
      <c r="J149" s="246"/>
      <c r="K149" s="246"/>
    </row>
    <row r="150" spans="1:11" x14ac:dyDescent="0.25">
      <c r="A150" s="297">
        <v>119</v>
      </c>
      <c r="B150" s="282" t="s">
        <v>149</v>
      </c>
      <c r="C150" s="45"/>
      <c r="D150" s="282"/>
      <c r="E150" s="245">
        <f t="shared" si="19"/>
        <v>0</v>
      </c>
      <c r="F150" s="246">
        <f t="shared" si="20"/>
        <v>0</v>
      </c>
      <c r="G150" s="246">
        <f>'Tabel NBM'!H150</f>
        <v>11042.5</v>
      </c>
      <c r="H150" s="448">
        <f t="shared" si="21"/>
        <v>11042.5</v>
      </c>
      <c r="I150" s="403" t="str">
        <f t="shared" si="22"/>
        <v>EKSPOR</v>
      </c>
      <c r="J150" s="246"/>
      <c r="K150" s="246"/>
    </row>
    <row r="151" spans="1:11" x14ac:dyDescent="0.25">
      <c r="A151" s="297">
        <v>120</v>
      </c>
      <c r="B151" s="282" t="s">
        <v>150</v>
      </c>
      <c r="C151" s="45"/>
      <c r="D151" s="282"/>
      <c r="E151" s="245">
        <f t="shared" si="19"/>
        <v>0</v>
      </c>
      <c r="F151" s="246">
        <f t="shared" si="20"/>
        <v>0</v>
      </c>
      <c r="G151" s="246">
        <f>'Tabel NBM'!H151</f>
        <v>0</v>
      </c>
      <c r="H151" s="448">
        <f t="shared" si="21"/>
        <v>0</v>
      </c>
      <c r="I151" s="403" t="str">
        <f t="shared" si="22"/>
        <v>EKSPOR</v>
      </c>
      <c r="J151" s="246"/>
      <c r="K151" s="246"/>
    </row>
    <row r="152" spans="1:11" x14ac:dyDescent="0.25">
      <c r="A152" s="297">
        <v>121</v>
      </c>
      <c r="B152" s="282" t="s">
        <v>151</v>
      </c>
      <c r="C152" s="45"/>
      <c r="D152" s="45"/>
      <c r="E152" s="245">
        <f t="shared" si="13"/>
        <v>0</v>
      </c>
      <c r="F152" s="246">
        <f t="shared" si="14"/>
        <v>0</v>
      </c>
      <c r="G152" s="246">
        <f>'Tabel NBM'!H152</f>
        <v>840.02</v>
      </c>
      <c r="H152" s="448">
        <f t="shared" si="11"/>
        <v>840.02</v>
      </c>
      <c r="I152" s="403" t="str">
        <f t="shared" si="12"/>
        <v>EKSPOR</v>
      </c>
      <c r="J152" s="246"/>
      <c r="K152" s="246"/>
    </row>
    <row r="153" spans="1:11" x14ac:dyDescent="0.25">
      <c r="A153" s="297">
        <v>122</v>
      </c>
      <c r="B153" s="282" t="s">
        <v>152</v>
      </c>
      <c r="C153" s="45"/>
      <c r="D153" s="45"/>
      <c r="E153" s="245">
        <f t="shared" si="13"/>
        <v>0</v>
      </c>
      <c r="F153" s="246">
        <f t="shared" si="14"/>
        <v>0</v>
      </c>
      <c r="G153" s="246">
        <f>'Tabel NBM'!H153</f>
        <v>137</v>
      </c>
      <c r="H153" s="448">
        <f t="shared" si="11"/>
        <v>137</v>
      </c>
      <c r="I153" s="403" t="str">
        <f t="shared" si="12"/>
        <v>EKSPOR</v>
      </c>
      <c r="J153" s="246"/>
      <c r="K153" s="246"/>
    </row>
    <row r="154" spans="1:11" x14ac:dyDescent="0.25">
      <c r="A154" s="297">
        <v>123</v>
      </c>
      <c r="B154" s="282" t="s">
        <v>153</v>
      </c>
      <c r="C154" s="45"/>
      <c r="D154" s="45"/>
      <c r="E154" s="245">
        <f t="shared" si="13"/>
        <v>0</v>
      </c>
      <c r="F154" s="246">
        <f t="shared" si="14"/>
        <v>0</v>
      </c>
      <c r="G154" s="246">
        <f>'Tabel NBM'!H154</f>
        <v>0</v>
      </c>
      <c r="H154" s="448">
        <f t="shared" si="11"/>
        <v>0</v>
      </c>
      <c r="I154" s="403" t="str">
        <f t="shared" si="12"/>
        <v>EKSPOR</v>
      </c>
      <c r="J154" s="246"/>
      <c r="K154" s="246"/>
    </row>
    <row r="155" spans="1:11" x14ac:dyDescent="0.25">
      <c r="A155" s="297">
        <v>124</v>
      </c>
      <c r="B155" s="282" t="s">
        <v>154</v>
      </c>
      <c r="C155" s="45"/>
      <c r="D155" s="45"/>
      <c r="E155" s="245">
        <f t="shared" si="13"/>
        <v>0</v>
      </c>
      <c r="F155" s="246">
        <f t="shared" si="14"/>
        <v>0</v>
      </c>
      <c r="G155" s="246">
        <f>'Tabel NBM'!H155</f>
        <v>5.75101721917334</v>
      </c>
      <c r="H155" s="448">
        <f t="shared" si="11"/>
        <v>5.75101721917334</v>
      </c>
      <c r="I155" s="403" t="str">
        <f t="shared" si="12"/>
        <v>EKSPOR</v>
      </c>
      <c r="J155" s="246"/>
      <c r="K155" s="246"/>
    </row>
    <row r="156" spans="1:11" x14ac:dyDescent="0.25">
      <c r="A156" s="297">
        <v>125</v>
      </c>
      <c r="B156" s="282" t="s">
        <v>155</v>
      </c>
      <c r="C156" s="45"/>
      <c r="D156" s="45"/>
      <c r="E156" s="245">
        <f t="shared" si="13"/>
        <v>0</v>
      </c>
      <c r="F156" s="246">
        <f t="shared" si="14"/>
        <v>0</v>
      </c>
      <c r="G156" s="246">
        <f>'Tabel NBM'!H156</f>
        <v>36.886230322514997</v>
      </c>
      <c r="H156" s="448">
        <f t="shared" si="11"/>
        <v>36.886230322514997</v>
      </c>
      <c r="I156" s="403" t="str">
        <f t="shared" si="12"/>
        <v>EKSPOR</v>
      </c>
      <c r="J156" s="246"/>
      <c r="K156" s="246"/>
    </row>
    <row r="157" spans="1:11" x14ac:dyDescent="0.25">
      <c r="A157" s="297">
        <v>126</v>
      </c>
      <c r="B157" s="282" t="s">
        <v>156</v>
      </c>
      <c r="C157" s="45"/>
      <c r="D157" s="45"/>
      <c r="E157" s="245">
        <f t="shared" si="13"/>
        <v>0</v>
      </c>
      <c r="F157" s="246">
        <f t="shared" si="14"/>
        <v>0</v>
      </c>
      <c r="G157" s="246">
        <f>'Tabel NBM'!H157</f>
        <v>0</v>
      </c>
      <c r="H157" s="448">
        <f t="shared" si="11"/>
        <v>0</v>
      </c>
      <c r="I157" s="403" t="str">
        <f t="shared" si="12"/>
        <v>EKSPOR</v>
      </c>
      <c r="J157" s="246"/>
      <c r="K157" s="246"/>
    </row>
    <row r="158" spans="1:11" x14ac:dyDescent="0.25">
      <c r="A158" s="297">
        <v>127</v>
      </c>
      <c r="B158" s="282" t="s">
        <v>28</v>
      </c>
      <c r="C158" s="45"/>
      <c r="D158" s="45"/>
      <c r="E158" s="245">
        <f t="shared" ref="E158:E185" si="23">D158*110%</f>
        <v>0</v>
      </c>
      <c r="F158" s="246">
        <f t="shared" ref="F158:F185" si="24">E158*$D$4</f>
        <v>0</v>
      </c>
      <c r="G158" s="246">
        <f>'Tabel NBM'!H158</f>
        <v>0</v>
      </c>
      <c r="H158" s="448">
        <f t="shared" ref="H158:H185" si="25">G158-F158</f>
        <v>0</v>
      </c>
      <c r="I158" s="403" t="str">
        <f t="shared" ref="I158:I185" si="26">IF(H158&lt;0,"IMPOR","EKSPOR")</f>
        <v>EKSPOR</v>
      </c>
      <c r="J158" s="246"/>
      <c r="K158" s="246"/>
    </row>
    <row r="159" spans="1:11" x14ac:dyDescent="0.25">
      <c r="A159" s="297">
        <v>128</v>
      </c>
      <c r="B159" s="282" t="s">
        <v>29</v>
      </c>
      <c r="C159" s="45"/>
      <c r="D159" s="45"/>
      <c r="E159" s="245">
        <f t="shared" si="23"/>
        <v>0</v>
      </c>
      <c r="F159" s="246">
        <f t="shared" si="24"/>
        <v>0</v>
      </c>
      <c r="G159" s="246">
        <f>'Tabel NBM'!H159</f>
        <v>12</v>
      </c>
      <c r="H159" s="448">
        <f t="shared" si="25"/>
        <v>12</v>
      </c>
      <c r="I159" s="403" t="str">
        <f t="shared" si="26"/>
        <v>EKSPOR</v>
      </c>
      <c r="J159" s="246"/>
      <c r="K159" s="246"/>
    </row>
    <row r="160" spans="1:11" x14ac:dyDescent="0.25">
      <c r="A160" s="297">
        <v>129</v>
      </c>
      <c r="B160" s="282" t="s">
        <v>30</v>
      </c>
      <c r="C160" s="45"/>
      <c r="D160" s="45"/>
      <c r="E160" s="245">
        <f t="shared" si="23"/>
        <v>0</v>
      </c>
      <c r="F160" s="246">
        <f t="shared" si="24"/>
        <v>0</v>
      </c>
      <c r="G160" s="246">
        <f>'Tabel NBM'!H160</f>
        <v>61.8886957985045</v>
      </c>
      <c r="H160" s="448">
        <f t="shared" si="25"/>
        <v>61.8886957985045</v>
      </c>
      <c r="I160" s="403" t="str">
        <f t="shared" si="26"/>
        <v>EKSPOR</v>
      </c>
      <c r="J160" s="246"/>
      <c r="K160" s="246"/>
    </row>
    <row r="161" spans="1:11" x14ac:dyDescent="0.25">
      <c r="A161" s="297">
        <v>130</v>
      </c>
      <c r="B161" s="282" t="s">
        <v>31</v>
      </c>
      <c r="C161" s="45"/>
      <c r="D161" s="45"/>
      <c r="E161" s="245">
        <f t="shared" si="23"/>
        <v>0</v>
      </c>
      <c r="F161" s="246">
        <f t="shared" si="24"/>
        <v>0</v>
      </c>
      <c r="G161" s="246">
        <f>'Tabel NBM'!H161</f>
        <v>68</v>
      </c>
      <c r="H161" s="448">
        <f t="shared" si="25"/>
        <v>68</v>
      </c>
      <c r="I161" s="403" t="str">
        <f t="shared" si="26"/>
        <v>EKSPOR</v>
      </c>
      <c r="J161" s="246"/>
      <c r="K161" s="246"/>
    </row>
    <row r="162" spans="1:11" x14ac:dyDescent="0.25">
      <c r="A162" s="297">
        <v>131</v>
      </c>
      <c r="B162" s="282" t="s">
        <v>32</v>
      </c>
      <c r="C162" s="45"/>
      <c r="D162" s="45"/>
      <c r="E162" s="245">
        <f t="shared" si="23"/>
        <v>0</v>
      </c>
      <c r="F162" s="246">
        <f t="shared" si="24"/>
        <v>0</v>
      </c>
      <c r="G162" s="246">
        <f>'Tabel NBM'!H162</f>
        <v>86.943115777277299</v>
      </c>
      <c r="H162" s="448">
        <f t="shared" si="25"/>
        <v>86.943115777277299</v>
      </c>
      <c r="I162" s="403" t="str">
        <f t="shared" si="26"/>
        <v>EKSPOR</v>
      </c>
      <c r="J162" s="246"/>
      <c r="K162" s="246"/>
    </row>
    <row r="163" spans="1:11" x14ac:dyDescent="0.25">
      <c r="A163" s="297">
        <v>132</v>
      </c>
      <c r="B163" s="282" t="s">
        <v>33</v>
      </c>
      <c r="C163" s="45"/>
      <c r="D163" s="45"/>
      <c r="E163" s="245">
        <f t="shared" si="23"/>
        <v>0</v>
      </c>
      <c r="F163" s="246">
        <f t="shared" si="24"/>
        <v>0</v>
      </c>
      <c r="G163" s="246">
        <f>'Tabel NBM'!H163</f>
        <v>103.33</v>
      </c>
      <c r="H163" s="448">
        <f t="shared" si="25"/>
        <v>103.33</v>
      </c>
      <c r="I163" s="403" t="str">
        <f t="shared" si="26"/>
        <v>EKSPOR</v>
      </c>
      <c r="J163" s="246"/>
      <c r="K163" s="246"/>
    </row>
    <row r="164" spans="1:11" x14ac:dyDescent="0.25">
      <c r="A164" s="297">
        <v>133</v>
      </c>
      <c r="B164" s="282" t="s">
        <v>34</v>
      </c>
      <c r="C164" s="45"/>
      <c r="D164" s="45"/>
      <c r="E164" s="245">
        <f t="shared" si="23"/>
        <v>0</v>
      </c>
      <c r="F164" s="246">
        <f t="shared" si="24"/>
        <v>0</v>
      </c>
      <c r="G164" s="246">
        <f>'Tabel NBM'!H164</f>
        <v>0</v>
      </c>
      <c r="H164" s="448">
        <f t="shared" si="25"/>
        <v>0</v>
      </c>
      <c r="I164" s="403" t="str">
        <f t="shared" si="26"/>
        <v>EKSPOR</v>
      </c>
      <c r="J164" s="246"/>
      <c r="K164" s="246"/>
    </row>
    <row r="165" spans="1:11" x14ac:dyDescent="0.25">
      <c r="A165" s="297">
        <v>134</v>
      </c>
      <c r="B165" s="282" t="s">
        <v>35</v>
      </c>
      <c r="C165" s="45"/>
      <c r="D165" s="45"/>
      <c r="E165" s="245">
        <f t="shared" si="23"/>
        <v>0</v>
      </c>
      <c r="F165" s="246">
        <f t="shared" si="24"/>
        <v>0</v>
      </c>
      <c r="G165" s="246">
        <f>'Tabel NBM'!H165</f>
        <v>0</v>
      </c>
      <c r="H165" s="448">
        <f t="shared" si="25"/>
        <v>0</v>
      </c>
      <c r="I165" s="403" t="str">
        <f t="shared" si="26"/>
        <v>EKSPOR</v>
      </c>
      <c r="J165" s="246"/>
      <c r="K165" s="246"/>
    </row>
    <row r="166" spans="1:11" x14ac:dyDescent="0.25">
      <c r="A166" s="297">
        <v>135</v>
      </c>
      <c r="B166" s="282" t="s">
        <v>36</v>
      </c>
      <c r="C166" s="45"/>
      <c r="D166" s="45"/>
      <c r="E166" s="245">
        <f t="shared" si="23"/>
        <v>0</v>
      </c>
      <c r="F166" s="246">
        <f t="shared" si="24"/>
        <v>0</v>
      </c>
      <c r="G166" s="246">
        <f>'Tabel NBM'!H166</f>
        <v>0</v>
      </c>
      <c r="H166" s="448">
        <f t="shared" si="25"/>
        <v>0</v>
      </c>
      <c r="I166" s="403" t="str">
        <f t="shared" si="26"/>
        <v>EKSPOR</v>
      </c>
      <c r="J166" s="246"/>
      <c r="K166" s="246"/>
    </row>
    <row r="167" spans="1:11" x14ac:dyDescent="0.25">
      <c r="A167" s="297">
        <v>136</v>
      </c>
      <c r="B167" s="282" t="s">
        <v>37</v>
      </c>
      <c r="C167" s="45"/>
      <c r="D167" s="45"/>
      <c r="E167" s="245">
        <f t="shared" si="23"/>
        <v>0</v>
      </c>
      <c r="F167" s="246">
        <f t="shared" si="24"/>
        <v>0</v>
      </c>
      <c r="G167" s="246">
        <f>'Tabel NBM'!H167</f>
        <v>0</v>
      </c>
      <c r="H167" s="448">
        <f t="shared" si="25"/>
        <v>0</v>
      </c>
      <c r="I167" s="403" t="str">
        <f t="shared" si="26"/>
        <v>EKSPOR</v>
      </c>
      <c r="J167" s="246"/>
      <c r="K167" s="246"/>
    </row>
    <row r="168" spans="1:11" x14ac:dyDescent="0.25">
      <c r="A168" s="297">
        <v>137</v>
      </c>
      <c r="B168" s="282" t="s">
        <v>38</v>
      </c>
      <c r="C168" s="45"/>
      <c r="D168" s="45"/>
      <c r="E168" s="245">
        <f t="shared" si="23"/>
        <v>0</v>
      </c>
      <c r="F168" s="246">
        <f t="shared" si="24"/>
        <v>0</v>
      </c>
      <c r="G168" s="246">
        <f>'Tabel NBM'!H168</f>
        <v>0</v>
      </c>
      <c r="H168" s="448">
        <f t="shared" si="25"/>
        <v>0</v>
      </c>
      <c r="I168" s="403" t="str">
        <f t="shared" si="26"/>
        <v>EKSPOR</v>
      </c>
      <c r="J168" s="246"/>
      <c r="K168" s="246"/>
    </row>
    <row r="169" spans="1:11" x14ac:dyDescent="0.25">
      <c r="A169" s="297">
        <v>138</v>
      </c>
      <c r="B169" s="282" t="s">
        <v>157</v>
      </c>
      <c r="C169" s="45"/>
      <c r="D169" s="45"/>
      <c r="E169" s="245">
        <f t="shared" si="23"/>
        <v>0</v>
      </c>
      <c r="F169" s="246">
        <f t="shared" si="24"/>
        <v>0</v>
      </c>
      <c r="G169" s="246">
        <f>'Tabel NBM'!H169</f>
        <v>2118.0741650550617</v>
      </c>
      <c r="H169" s="448">
        <f t="shared" si="25"/>
        <v>2118.0741650550617</v>
      </c>
      <c r="I169" s="403" t="str">
        <f t="shared" si="26"/>
        <v>EKSPOR</v>
      </c>
      <c r="J169" s="246"/>
      <c r="K169" s="246"/>
    </row>
    <row r="170" spans="1:11" x14ac:dyDescent="0.25">
      <c r="A170" s="297"/>
      <c r="B170" s="298"/>
      <c r="C170" s="282"/>
      <c r="D170" s="45"/>
      <c r="E170" s="245">
        <f t="shared" si="23"/>
        <v>0</v>
      </c>
      <c r="F170" s="246">
        <f t="shared" si="24"/>
        <v>0</v>
      </c>
      <c r="G170" s="246">
        <f>'Tabel NBM'!H170</f>
        <v>0</v>
      </c>
      <c r="H170" s="448">
        <f t="shared" si="25"/>
        <v>0</v>
      </c>
      <c r="I170" s="403" t="str">
        <f t="shared" si="26"/>
        <v>EKSPOR</v>
      </c>
      <c r="J170" s="246"/>
      <c r="K170" s="246"/>
    </row>
    <row r="171" spans="1:11" x14ac:dyDescent="0.25">
      <c r="A171" s="336" t="s">
        <v>39</v>
      </c>
      <c r="B171" s="282"/>
      <c r="C171" s="282"/>
      <c r="D171" s="45"/>
      <c r="E171" s="245">
        <f t="shared" si="23"/>
        <v>0</v>
      </c>
      <c r="F171" s="246">
        <f t="shared" si="24"/>
        <v>0</v>
      </c>
      <c r="G171" s="246">
        <f>'Tabel NBM'!H171</f>
        <v>0</v>
      </c>
      <c r="H171" s="448">
        <f t="shared" si="25"/>
        <v>0</v>
      </c>
      <c r="I171" s="403" t="str">
        <f t="shared" si="26"/>
        <v>EKSPOR</v>
      </c>
      <c r="J171" s="246"/>
      <c r="K171" s="246"/>
    </row>
    <row r="172" spans="1:11" x14ac:dyDescent="0.25">
      <c r="A172" s="336"/>
      <c r="B172" s="282"/>
      <c r="C172" s="299" t="s">
        <v>40</v>
      </c>
      <c r="D172" s="45"/>
      <c r="E172" s="245">
        <f t="shared" si="23"/>
        <v>0</v>
      </c>
      <c r="F172" s="246">
        <f t="shared" si="24"/>
        <v>0</v>
      </c>
      <c r="G172" s="246">
        <f>'Tabel NBM'!H172</f>
        <v>0</v>
      </c>
      <c r="H172" s="448">
        <f t="shared" si="25"/>
        <v>0</v>
      </c>
      <c r="I172" s="403" t="str">
        <f t="shared" si="26"/>
        <v>EKSPOR</v>
      </c>
      <c r="J172" s="246"/>
      <c r="K172" s="246"/>
    </row>
    <row r="173" spans="1:11" x14ac:dyDescent="0.25">
      <c r="A173" s="297">
        <v>139</v>
      </c>
      <c r="B173" s="282" t="s">
        <v>158</v>
      </c>
      <c r="C173" s="45"/>
      <c r="D173" s="45"/>
      <c r="E173" s="245">
        <f t="shared" si="23"/>
        <v>0</v>
      </c>
      <c r="F173" s="246">
        <f t="shared" si="24"/>
        <v>0</v>
      </c>
      <c r="G173" s="246">
        <f>'Tabel NBM'!H173</f>
        <v>0</v>
      </c>
      <c r="H173" s="448">
        <f t="shared" si="25"/>
        <v>0</v>
      </c>
      <c r="I173" s="403" t="str">
        <f t="shared" si="26"/>
        <v>EKSPOR</v>
      </c>
      <c r="J173" s="246"/>
      <c r="K173" s="246"/>
    </row>
    <row r="174" spans="1:11" x14ac:dyDescent="0.25">
      <c r="A174" s="297">
        <v>140</v>
      </c>
      <c r="B174" s="282" t="s">
        <v>159</v>
      </c>
      <c r="C174" s="45"/>
      <c r="D174" s="45"/>
      <c r="E174" s="245">
        <f t="shared" si="23"/>
        <v>0</v>
      </c>
      <c r="F174" s="246">
        <f t="shared" si="24"/>
        <v>0</v>
      </c>
      <c r="G174" s="246">
        <f>'Tabel NBM'!H174</f>
        <v>0</v>
      </c>
      <c r="H174" s="448">
        <f t="shared" si="25"/>
        <v>0</v>
      </c>
      <c r="I174" s="403" t="str">
        <f t="shared" si="26"/>
        <v>EKSPOR</v>
      </c>
      <c r="J174" s="246"/>
      <c r="K174" s="246"/>
    </row>
    <row r="175" spans="1:11" x14ac:dyDescent="0.25">
      <c r="A175" s="297">
        <v>141</v>
      </c>
      <c r="B175" s="282" t="s">
        <v>160</v>
      </c>
      <c r="C175" s="45"/>
      <c r="D175" s="45"/>
      <c r="E175" s="245">
        <f t="shared" si="23"/>
        <v>0</v>
      </c>
      <c r="F175" s="246">
        <f t="shared" si="24"/>
        <v>0</v>
      </c>
      <c r="G175" s="246">
        <f>'Tabel NBM'!H175</f>
        <v>5860</v>
      </c>
      <c r="H175" s="448">
        <f t="shared" si="25"/>
        <v>5860</v>
      </c>
      <c r="I175" s="403" t="str">
        <f t="shared" si="26"/>
        <v>EKSPOR</v>
      </c>
      <c r="J175" s="246"/>
      <c r="K175" s="246"/>
    </row>
    <row r="176" spans="1:11" x14ac:dyDescent="0.25">
      <c r="A176" s="297">
        <v>142</v>
      </c>
      <c r="B176" s="282" t="s">
        <v>41</v>
      </c>
      <c r="C176" s="45"/>
      <c r="D176" s="45"/>
      <c r="E176" s="245">
        <f t="shared" si="23"/>
        <v>0</v>
      </c>
      <c r="F176" s="246">
        <f t="shared" si="24"/>
        <v>0</v>
      </c>
      <c r="G176" s="246">
        <f>'Tabel NBM'!H176</f>
        <v>0</v>
      </c>
      <c r="H176" s="448">
        <f t="shared" si="25"/>
        <v>0</v>
      </c>
      <c r="I176" s="403" t="str">
        <f t="shared" si="26"/>
        <v>EKSPOR</v>
      </c>
      <c r="J176" s="246"/>
      <c r="K176" s="246"/>
    </row>
    <row r="177" spans="1:11" x14ac:dyDescent="0.25">
      <c r="A177" s="297">
        <v>143</v>
      </c>
      <c r="B177" s="282" t="s">
        <v>42</v>
      </c>
      <c r="C177" s="45"/>
      <c r="D177" s="45"/>
      <c r="E177" s="245">
        <f t="shared" si="23"/>
        <v>0</v>
      </c>
      <c r="F177" s="246">
        <f t="shared" si="24"/>
        <v>0</v>
      </c>
      <c r="G177" s="246">
        <f>'Tabel NBM'!H177</f>
        <v>0</v>
      </c>
      <c r="H177" s="448">
        <f t="shared" si="25"/>
        <v>0</v>
      </c>
      <c r="I177" s="403" t="str">
        <f t="shared" si="26"/>
        <v>EKSPOR</v>
      </c>
      <c r="J177" s="246"/>
      <c r="K177" s="246"/>
    </row>
    <row r="178" spans="1:11" s="404" customFormat="1" ht="11.25" customHeight="1" x14ac:dyDescent="0.25">
      <c r="A178" s="297">
        <v>144</v>
      </c>
      <c r="B178" s="282" t="s">
        <v>43</v>
      </c>
      <c r="C178" s="45"/>
      <c r="D178" s="45"/>
      <c r="E178" s="245">
        <f t="shared" si="23"/>
        <v>0</v>
      </c>
      <c r="F178" s="246">
        <f t="shared" si="24"/>
        <v>0</v>
      </c>
      <c r="G178" s="246">
        <f>'Tabel NBM'!H178</f>
        <v>0</v>
      </c>
      <c r="H178" s="448">
        <f t="shared" si="25"/>
        <v>0</v>
      </c>
      <c r="I178" s="403" t="str">
        <f t="shared" si="26"/>
        <v>EKSPOR</v>
      </c>
      <c r="J178" s="246"/>
      <c r="K178" s="247"/>
    </row>
    <row r="179" spans="1:11" x14ac:dyDescent="0.25">
      <c r="A179" s="297">
        <v>145</v>
      </c>
      <c r="B179" s="282" t="s">
        <v>44</v>
      </c>
      <c r="C179" s="45"/>
      <c r="D179" s="45"/>
      <c r="E179" s="245">
        <f t="shared" si="23"/>
        <v>0</v>
      </c>
      <c r="F179" s="246">
        <f t="shared" si="24"/>
        <v>0</v>
      </c>
      <c r="G179" s="246">
        <f>'Tabel NBM'!H179</f>
        <v>0</v>
      </c>
      <c r="H179" s="448">
        <f t="shared" si="25"/>
        <v>0</v>
      </c>
      <c r="I179" s="403" t="str">
        <f t="shared" si="26"/>
        <v>EKSPOR</v>
      </c>
      <c r="J179" s="246"/>
      <c r="K179" s="246"/>
    </row>
    <row r="180" spans="1:11" x14ac:dyDescent="0.25">
      <c r="A180" s="297"/>
      <c r="B180" s="282"/>
      <c r="C180" s="45"/>
      <c r="D180" s="45"/>
      <c r="E180" s="245">
        <f t="shared" si="23"/>
        <v>0</v>
      </c>
      <c r="F180" s="246">
        <f t="shared" si="24"/>
        <v>0</v>
      </c>
      <c r="G180" s="246">
        <f>'Tabel NBM'!H180</f>
        <v>0</v>
      </c>
      <c r="H180" s="448">
        <f t="shared" si="25"/>
        <v>0</v>
      </c>
      <c r="I180" s="403" t="str">
        <f t="shared" si="26"/>
        <v>EKSPOR</v>
      </c>
      <c r="J180" s="246"/>
      <c r="K180" s="246"/>
    </row>
    <row r="181" spans="1:11" x14ac:dyDescent="0.25">
      <c r="A181" s="297">
        <v>146</v>
      </c>
      <c r="B181" s="282" t="s">
        <v>161</v>
      </c>
      <c r="C181" s="45"/>
      <c r="D181" s="45"/>
      <c r="E181" s="245">
        <f t="shared" si="23"/>
        <v>0</v>
      </c>
      <c r="F181" s="246">
        <f t="shared" si="24"/>
        <v>0</v>
      </c>
      <c r="G181" s="246">
        <f>'Tabel NBM'!H181</f>
        <v>162.37468295006403</v>
      </c>
      <c r="H181" s="448">
        <f t="shared" si="25"/>
        <v>162.37468295006403</v>
      </c>
      <c r="I181" s="403" t="str">
        <f t="shared" si="26"/>
        <v>EKSPOR</v>
      </c>
      <c r="J181" s="246"/>
      <c r="K181" s="246"/>
    </row>
    <row r="182" spans="1:11" x14ac:dyDescent="0.25">
      <c r="A182" s="297">
        <v>147</v>
      </c>
      <c r="B182" s="282" t="s">
        <v>162</v>
      </c>
      <c r="C182" s="45"/>
      <c r="D182" s="45"/>
      <c r="E182" s="245">
        <f t="shared" si="23"/>
        <v>0</v>
      </c>
      <c r="F182" s="246">
        <f t="shared" si="24"/>
        <v>0</v>
      </c>
      <c r="G182" s="246">
        <f>'Tabel NBM'!H182</f>
        <v>19.068826405530761</v>
      </c>
      <c r="H182" s="448">
        <f t="shared" si="25"/>
        <v>19.068826405530761</v>
      </c>
      <c r="I182" s="403" t="str">
        <f t="shared" si="26"/>
        <v>EKSPOR</v>
      </c>
      <c r="J182" s="246"/>
      <c r="K182" s="246"/>
    </row>
    <row r="183" spans="1:11" x14ac:dyDescent="0.25">
      <c r="A183" s="297">
        <v>148</v>
      </c>
      <c r="B183" s="282" t="s">
        <v>163</v>
      </c>
      <c r="C183" s="45"/>
      <c r="D183" s="45"/>
      <c r="E183" s="245">
        <f t="shared" si="23"/>
        <v>0</v>
      </c>
      <c r="F183" s="246">
        <f t="shared" si="24"/>
        <v>0</v>
      </c>
      <c r="G183" s="246">
        <f>'Tabel NBM'!H183</f>
        <v>5.0385487346193996</v>
      </c>
      <c r="H183" s="448">
        <f t="shared" si="25"/>
        <v>5.0385487346193996</v>
      </c>
      <c r="I183" s="403" t="str">
        <f t="shared" si="26"/>
        <v>EKSPOR</v>
      </c>
      <c r="J183" s="246"/>
      <c r="K183" s="246"/>
    </row>
    <row r="184" spans="1:11" x14ac:dyDescent="0.25">
      <c r="A184" s="297">
        <v>149</v>
      </c>
      <c r="B184" s="282" t="s">
        <v>164</v>
      </c>
      <c r="C184" s="45"/>
      <c r="D184" s="45"/>
      <c r="E184" s="245">
        <f t="shared" si="23"/>
        <v>0</v>
      </c>
      <c r="F184" s="246">
        <f t="shared" si="24"/>
        <v>0</v>
      </c>
      <c r="G184" s="246">
        <f>'Tabel NBM'!H184</f>
        <v>0</v>
      </c>
      <c r="H184" s="448">
        <f t="shared" si="25"/>
        <v>0</v>
      </c>
      <c r="I184" s="403" t="str">
        <f t="shared" si="26"/>
        <v>EKSPOR</v>
      </c>
      <c r="J184" s="246"/>
      <c r="K184" s="246"/>
    </row>
    <row r="185" spans="1:11" x14ac:dyDescent="0.25">
      <c r="A185" s="297">
        <v>150</v>
      </c>
      <c r="B185" s="282" t="s">
        <v>165</v>
      </c>
      <c r="C185" s="45"/>
      <c r="D185" s="45"/>
      <c r="E185" s="245">
        <f t="shared" si="23"/>
        <v>0</v>
      </c>
      <c r="F185" s="246">
        <f t="shared" si="24"/>
        <v>0</v>
      </c>
      <c r="G185" s="246">
        <f>'Tabel NBM'!H185</f>
        <v>0</v>
      </c>
      <c r="H185" s="448">
        <f t="shared" si="25"/>
        <v>0</v>
      </c>
      <c r="I185" s="403" t="str">
        <f t="shared" si="26"/>
        <v>EKSPOR</v>
      </c>
      <c r="J185" s="246"/>
      <c r="K185" s="246"/>
    </row>
    <row r="186" spans="1:11" x14ac:dyDescent="0.25">
      <c r="G186" s="246"/>
    </row>
  </sheetData>
  <mergeCells count="15">
    <mergeCell ref="M8:M9"/>
    <mergeCell ref="L6:M7"/>
    <mergeCell ref="A11:C11"/>
    <mergeCell ref="H5:H10"/>
    <mergeCell ref="I5:I10"/>
    <mergeCell ref="J5:K7"/>
    <mergeCell ref="A8:C9"/>
    <mergeCell ref="J8:J10"/>
    <mergeCell ref="K8:K10"/>
    <mergeCell ref="G5:G10"/>
    <mergeCell ref="D4:E4"/>
    <mergeCell ref="A5:C7"/>
    <mergeCell ref="D5:D10"/>
    <mergeCell ref="E5:E10"/>
    <mergeCell ref="F5:F10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10</vt:i4>
      </vt:variant>
    </vt:vector>
  </HeadingPairs>
  <TitlesOfParts>
    <vt:vector size="28" baseType="lpstr">
      <vt:lpstr>Keterangan</vt:lpstr>
      <vt:lpstr>Produksi</vt:lpstr>
      <vt:lpstr>Stok</vt:lpstr>
      <vt:lpstr>Impor_Pangan Masuk</vt:lpstr>
      <vt:lpstr>Ekspor_Pangan Keluar</vt:lpstr>
      <vt:lpstr>Pemakaian Dalam Negeri</vt:lpstr>
      <vt:lpstr>Tabel NBM</vt:lpstr>
      <vt:lpstr>PPH</vt:lpstr>
      <vt:lpstr>ESTIMASI  Ekspor Impor</vt:lpstr>
      <vt:lpstr>Pemakaian Dalam Negeri REVISI</vt:lpstr>
      <vt:lpstr>Tabel NBM REVISI</vt:lpstr>
      <vt:lpstr>PPH REVISI</vt:lpstr>
      <vt:lpstr>Tabel NBM FINAL</vt:lpstr>
      <vt:lpstr>PPH FINAL</vt:lpstr>
      <vt:lpstr>Benih</vt:lpstr>
      <vt:lpstr>Industri Makanan</vt:lpstr>
      <vt:lpstr>Industri Non Pangan</vt:lpstr>
      <vt:lpstr>Tercecer</vt:lpstr>
      <vt:lpstr>'Pemakaian Dalam Negeri'!Print_Area</vt:lpstr>
      <vt:lpstr>'Pemakaian Dalam Negeri REVISI'!Print_Area</vt:lpstr>
      <vt:lpstr>'Tabel NBM'!Print_Area</vt:lpstr>
      <vt:lpstr>'Tabel NBM FINAL'!Print_Area</vt:lpstr>
      <vt:lpstr>'Tabel NBM REVISI'!Print_Area</vt:lpstr>
      <vt:lpstr>'Pemakaian Dalam Negeri'!Print_Titles</vt:lpstr>
      <vt:lpstr>'Pemakaian Dalam Negeri REVISI'!Print_Titles</vt:lpstr>
      <vt:lpstr>'Tabel NBM'!Print_Titles</vt:lpstr>
      <vt:lpstr>'Tabel NBM FINAL'!Print_Titles</vt:lpstr>
      <vt:lpstr>'Tabel NBM REVISI'!Print_Titles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 MODERN</dc:creator>
  <cp:lastModifiedBy>ASUS</cp:lastModifiedBy>
  <cp:lastPrinted>2026-02-04T05:52:21Z</cp:lastPrinted>
  <dcterms:created xsi:type="dcterms:W3CDTF">2025-04-23T06:55:34Z</dcterms:created>
  <dcterms:modified xsi:type="dcterms:W3CDTF">2026-02-04T05:55:24Z</dcterms:modified>
</cp:coreProperties>
</file>